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3.xml" ContentType="application/vnd.openxmlformats-officedocument.drawingml.chartshapes+xml"/>
  <Override PartName="/xl/charts/chart14.xml" ContentType="application/vnd.openxmlformats-officedocument.drawingml.chart+xml"/>
  <Override PartName="/xl/drawings/drawing4.xml" ContentType="application/vnd.openxmlformats-officedocument.drawingml.chartshapes+xml"/>
  <Override PartName="/xl/charts/chart15.xml" ContentType="application/vnd.openxmlformats-officedocument.drawingml.chart+xml"/>
  <Override PartName="/xl/drawings/drawing5.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ml.chartshapes+xml"/>
  <Override PartName="/xl/charts/chart19.xml" ContentType="application/vnd.openxmlformats-officedocument.drawingml.chart+xml"/>
  <Override PartName="/xl/charts/chart20.xml" ContentType="application/vnd.openxmlformats-officedocument.drawingml.chart+xml"/>
  <Override PartName="/xl/drawings/drawing7.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8.xml" ContentType="application/vnd.openxmlformats-officedocument.drawingml.chartshapes+xml"/>
  <Override PartName="/xl/charts/chart23.xml" ContentType="application/vnd.openxmlformats-officedocument.drawingml.chart+xml"/>
  <Override PartName="/xl/drawings/drawing9.xml" ContentType="application/vnd.openxmlformats-officedocument.drawingml.chartshapes+xml"/>
  <Override PartName="/xl/charts/chart24.xml" ContentType="application/vnd.openxmlformats-officedocument.drawingml.chart+xml"/>
  <Override PartName="/xl/drawings/drawing10.xml" ContentType="application/vnd.openxmlformats-officedocument.drawing+xml"/>
  <Override PartName="/xl/charts/chart25.xml" ContentType="application/vnd.openxmlformats-officedocument.drawingml.chart+xml"/>
  <Override PartName="/xl/drawings/drawing11.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charts/chart34.xml" ContentType="application/vnd.openxmlformats-officedocument.drawingml.chart+xml"/>
  <Override PartName="/xl/drawings/drawing1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CAN 4\Documents\RB21\2019\Socially and Emotionally Healthy &amp; Safe\Disciplinary Actions\For Web\"/>
    </mc:Choice>
  </mc:AlternateContent>
  <xr:revisionPtr revIDLastSave="0" documentId="8_{DA3BDD9E-7315-4135-A2DA-85DD3F2D461A}" xr6:coauthVersionLast="45" xr6:coauthVersionMax="45" xr10:uidLastSave="{00000000-0000-0000-0000-000000000000}"/>
  <bookViews>
    <workbookView xWindow="-108" yWindow="-108" windowWidth="23256" windowHeight="13176" xr2:uid="{00000000-000D-0000-FFFF-FFFF00000000}"/>
  </bookViews>
  <sheets>
    <sheet name="Overall Breakdown" sheetId="5" r:id="rId1"/>
    <sheet name="Race by District" sheetId="6" r:id="rId2"/>
    <sheet name="ISS Trends" sheetId="7" r:id="rId3"/>
    <sheet name="By Gender" sheetId="8" r:id="rId4"/>
    <sheet name="Reasons for DAEP Placement" sheetId="9" r:id="rId5"/>
    <sheet name="Discretionary Removals" sheetId="10" r:id="rId6"/>
    <sheet name="Sheet1" sheetId="11" r:id="rId7"/>
  </sheets>
  <definedNames>
    <definedName name="_xlnm._FilterDatabase" localSheetId="4" hidden="1">'Reasons for DAEP Placement'!$C$23:$E$46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1" i="6" l="1"/>
  <c r="C86" i="6"/>
  <c r="D72" i="6" l="1"/>
  <c r="G119" i="5" l="1"/>
  <c r="F119" i="5"/>
  <c r="E119" i="5"/>
  <c r="D119" i="5"/>
  <c r="C119" i="5"/>
  <c r="G118" i="5"/>
  <c r="F118" i="5"/>
  <c r="E118" i="5"/>
  <c r="D118" i="5"/>
  <c r="C118" i="5"/>
  <c r="F117" i="5"/>
  <c r="E117" i="5"/>
  <c r="D117" i="5"/>
  <c r="C117" i="5"/>
  <c r="F105" i="5"/>
  <c r="E105" i="5"/>
  <c r="D105" i="5"/>
  <c r="C105" i="5"/>
  <c r="F104" i="5"/>
  <c r="E104" i="5"/>
  <c r="D104" i="5"/>
  <c r="C104" i="5"/>
  <c r="F103" i="5"/>
  <c r="E103" i="5"/>
  <c r="D103" i="5"/>
  <c r="C103" i="5"/>
  <c r="F91" i="5"/>
  <c r="E91" i="5"/>
  <c r="D91" i="5"/>
  <c r="C91" i="5"/>
  <c r="F90" i="5"/>
  <c r="E90" i="5"/>
  <c r="D90" i="5"/>
  <c r="C90" i="5"/>
  <c r="F89" i="5"/>
  <c r="E89" i="5"/>
  <c r="D89" i="5"/>
  <c r="C89" i="5"/>
  <c r="C88" i="5"/>
  <c r="G77" i="5"/>
  <c r="F77" i="5"/>
  <c r="E77" i="5"/>
  <c r="D77" i="5"/>
  <c r="C77" i="5"/>
  <c r="G76" i="5"/>
  <c r="F76" i="5"/>
  <c r="E76" i="5"/>
  <c r="D76" i="5"/>
  <c r="C76" i="5"/>
  <c r="G75" i="5"/>
  <c r="F75" i="5"/>
  <c r="E75" i="5"/>
  <c r="D75" i="5"/>
  <c r="C74" i="5"/>
  <c r="C75" i="5"/>
  <c r="F63" i="5"/>
  <c r="E63" i="5"/>
  <c r="D63" i="5"/>
  <c r="C63" i="5"/>
  <c r="F62" i="5"/>
  <c r="E62" i="5"/>
  <c r="D62" i="5"/>
  <c r="C61" i="5"/>
  <c r="C62" i="5"/>
  <c r="F61" i="5"/>
  <c r="E61" i="5"/>
  <c r="D61" i="5"/>
  <c r="F48" i="5"/>
  <c r="E48" i="5"/>
  <c r="D48" i="5"/>
  <c r="C48" i="5"/>
  <c r="F47" i="5"/>
  <c r="E47" i="5"/>
  <c r="D47" i="5"/>
  <c r="C47" i="5"/>
  <c r="G34" i="5"/>
  <c r="F34" i="5"/>
  <c r="E34" i="5"/>
  <c r="D34" i="5"/>
  <c r="C34" i="5"/>
  <c r="G33" i="5"/>
  <c r="F33" i="5"/>
  <c r="E33" i="5"/>
  <c r="D33" i="5"/>
  <c r="C33" i="5"/>
  <c r="F32" i="5"/>
  <c r="E32" i="5"/>
  <c r="D32" i="5"/>
  <c r="C32" i="5"/>
  <c r="D31" i="5"/>
  <c r="C31" i="5"/>
  <c r="G13" i="5"/>
  <c r="F13" i="5"/>
  <c r="E13" i="5"/>
  <c r="D13" i="5"/>
  <c r="C13" i="5"/>
  <c r="G12" i="5"/>
  <c r="F12" i="5"/>
  <c r="E12" i="5"/>
  <c r="D12" i="5"/>
  <c r="C12" i="5"/>
  <c r="G11" i="5"/>
  <c r="F11" i="5"/>
  <c r="E11" i="5"/>
  <c r="D11" i="5"/>
  <c r="C11" i="5"/>
  <c r="C10" i="5"/>
  <c r="J7" i="10"/>
  <c r="I7" i="10"/>
  <c r="H7" i="10"/>
  <c r="G7" i="10"/>
  <c r="F7" i="10"/>
  <c r="E7" i="10"/>
  <c r="D7" i="10"/>
  <c r="C7" i="10"/>
  <c r="B7" i="10"/>
  <c r="B3" i="10"/>
  <c r="O3" i="10"/>
  <c r="C3" i="10" s="1"/>
  <c r="D3" i="10"/>
  <c r="E3" i="10"/>
  <c r="F3" i="10"/>
  <c r="G3" i="10"/>
  <c r="H3" i="10"/>
  <c r="I3" i="10"/>
  <c r="J3" i="10"/>
  <c r="B4" i="10"/>
  <c r="C4" i="10"/>
  <c r="D4" i="10"/>
  <c r="F4" i="10"/>
  <c r="G4" i="10"/>
  <c r="H4" i="10"/>
  <c r="I4" i="10"/>
  <c r="J4" i="10"/>
  <c r="B5" i="10"/>
  <c r="C5" i="10"/>
  <c r="D5" i="10"/>
  <c r="E5" i="10"/>
  <c r="F5" i="10"/>
  <c r="G5" i="10"/>
  <c r="H5" i="10"/>
  <c r="I5" i="10"/>
  <c r="J5" i="10"/>
  <c r="B6" i="10"/>
  <c r="C6" i="10"/>
  <c r="E6" i="10"/>
  <c r="F6" i="10"/>
  <c r="H6" i="10"/>
  <c r="I6" i="10"/>
  <c r="J6" i="10"/>
  <c r="B8" i="10"/>
  <c r="C8" i="10"/>
  <c r="D8" i="10"/>
  <c r="E8" i="10"/>
  <c r="F8" i="10"/>
  <c r="G8" i="10"/>
  <c r="H8" i="10"/>
  <c r="I8" i="10"/>
  <c r="J8" i="10"/>
  <c r="B9" i="10"/>
  <c r="C9" i="10"/>
  <c r="D9" i="10"/>
  <c r="E9" i="10"/>
  <c r="F9" i="10"/>
  <c r="G9" i="10"/>
  <c r="H9" i="10"/>
  <c r="I9" i="10"/>
  <c r="J9" i="10"/>
  <c r="B10" i="10"/>
  <c r="C10" i="10"/>
  <c r="D10" i="10"/>
  <c r="E10" i="10"/>
  <c r="F10" i="10"/>
  <c r="G10" i="10"/>
  <c r="H10" i="10"/>
  <c r="I10" i="10"/>
  <c r="J10" i="10"/>
  <c r="D11" i="10"/>
  <c r="E11" i="10"/>
  <c r="F11" i="10"/>
  <c r="G11" i="10"/>
  <c r="H11" i="10"/>
  <c r="I11" i="10"/>
  <c r="J11" i="10"/>
  <c r="Z64" i="6"/>
  <c r="Z76" i="6"/>
  <c r="AA64" i="6"/>
  <c r="Y64" i="6"/>
  <c r="Y89" i="6" s="1"/>
  <c r="Z63" i="6"/>
  <c r="Z75" i="6"/>
  <c r="AA63" i="6"/>
  <c r="AA88" i="6" s="1"/>
  <c r="Y63" i="6"/>
  <c r="Y88" i="6" s="1"/>
  <c r="Z62" i="6"/>
  <c r="Z74" i="6"/>
  <c r="Z87" i="6" s="1"/>
  <c r="AA62" i="6"/>
  <c r="Y62" i="6"/>
  <c r="Y87" i="6" s="1"/>
  <c r="Z61" i="6"/>
  <c r="Z73" i="6"/>
  <c r="AA61" i="6"/>
  <c r="AA86" i="6" s="1"/>
  <c r="Y61" i="6"/>
  <c r="Y86" i="6" s="1"/>
  <c r="Z60" i="6"/>
  <c r="Z85" i="6" s="1"/>
  <c r="Z72" i="6"/>
  <c r="AA60" i="6"/>
  <c r="Y60" i="6"/>
  <c r="Z77" i="6"/>
  <c r="AQ64" i="6"/>
  <c r="AQ76" i="6"/>
  <c r="AR64" i="6"/>
  <c r="AR89" i="6" s="1"/>
  <c r="AP64" i="6"/>
  <c r="AP89" i="6" s="1"/>
  <c r="AQ63" i="6"/>
  <c r="AQ88" i="6" s="1"/>
  <c r="AQ75" i="6"/>
  <c r="AR63" i="6"/>
  <c r="AP63" i="6"/>
  <c r="AP88" i="6"/>
  <c r="AQ62" i="6"/>
  <c r="AQ74" i="6"/>
  <c r="AR62" i="6"/>
  <c r="AR87" i="6" s="1"/>
  <c r="AP62" i="6"/>
  <c r="AQ61" i="6"/>
  <c r="AQ86" i="6" s="1"/>
  <c r="AQ73" i="6"/>
  <c r="AR61" i="6"/>
  <c r="AR86" i="6" s="1"/>
  <c r="AP61" i="6"/>
  <c r="AQ60" i="6"/>
  <c r="AQ72" i="6"/>
  <c r="AQ85" i="6" s="1"/>
  <c r="AR60" i="6"/>
  <c r="AR85" i="6" s="1"/>
  <c r="AP60" i="6"/>
  <c r="AQ77" i="6"/>
  <c r="AI64" i="6"/>
  <c r="AI76" i="6"/>
  <c r="AJ64" i="6"/>
  <c r="AJ89" i="6" s="1"/>
  <c r="AH64" i="6"/>
  <c r="AH89" i="6" s="1"/>
  <c r="AI63" i="6"/>
  <c r="AI88" i="6" s="1"/>
  <c r="AI75" i="6"/>
  <c r="AJ63" i="6"/>
  <c r="AH63" i="6"/>
  <c r="AI62" i="6"/>
  <c r="AI74" i="6"/>
  <c r="AJ62" i="6"/>
  <c r="AJ87" i="6" s="1"/>
  <c r="AH62" i="6"/>
  <c r="AH87" i="6" s="1"/>
  <c r="AI60" i="6"/>
  <c r="AI85" i="6" s="1"/>
  <c r="AI72" i="6"/>
  <c r="AJ60" i="6"/>
  <c r="AH60" i="6"/>
  <c r="AI61" i="6"/>
  <c r="AI73" i="6"/>
  <c r="AJ61" i="6"/>
  <c r="AJ86" i="6"/>
  <c r="AH61" i="6"/>
  <c r="AI77" i="6"/>
  <c r="S64" i="6"/>
  <c r="S76" i="6"/>
  <c r="S89" i="6"/>
  <c r="T64" i="6"/>
  <c r="R64" i="6"/>
  <c r="S63" i="6"/>
  <c r="S75" i="6"/>
  <c r="T88" i="6" s="1"/>
  <c r="T63" i="6"/>
  <c r="R63" i="6"/>
  <c r="R88" i="6" s="1"/>
  <c r="S62" i="6"/>
  <c r="S87" i="6" s="1"/>
  <c r="S74" i="6"/>
  <c r="T62" i="6"/>
  <c r="R62" i="6"/>
  <c r="S61" i="6"/>
  <c r="S86" i="6" s="1"/>
  <c r="S73" i="6"/>
  <c r="T61" i="6"/>
  <c r="R61" i="6"/>
  <c r="R86" i="6" s="1"/>
  <c r="S60" i="6"/>
  <c r="S85" i="6" s="1"/>
  <c r="S72" i="6"/>
  <c r="T60" i="6"/>
  <c r="R60" i="6"/>
  <c r="S77" i="6"/>
  <c r="F14" i="7"/>
  <c r="F13" i="7"/>
  <c r="F12" i="7"/>
  <c r="F10" i="7"/>
  <c r="F9" i="7"/>
  <c r="F8" i="7"/>
  <c r="BE77" i="6"/>
  <c r="K77" i="6"/>
  <c r="D77" i="6"/>
  <c r="AX77" i="6"/>
  <c r="BE73" i="6"/>
  <c r="BE74" i="6"/>
  <c r="BE62" i="6"/>
  <c r="BE75" i="6"/>
  <c r="BE76" i="6"/>
  <c r="BF64" i="6"/>
  <c r="BE72" i="6"/>
  <c r="BD85" i="6" s="1"/>
  <c r="AX73" i="6"/>
  <c r="AX74" i="6"/>
  <c r="AX75" i="6"/>
  <c r="AX63" i="6"/>
  <c r="AX76" i="6"/>
  <c r="AX72" i="6"/>
  <c r="AW85" i="6" s="1"/>
  <c r="AX60" i="6"/>
  <c r="AX85" i="6"/>
  <c r="K73" i="6"/>
  <c r="K74" i="6"/>
  <c r="K87" i="6" s="1"/>
  <c r="K75" i="6"/>
  <c r="J88" i="6" s="1"/>
  <c r="K76" i="6"/>
  <c r="J89" i="6" s="1"/>
  <c r="J64" i="6"/>
  <c r="K72" i="6"/>
  <c r="D73" i="6"/>
  <c r="E86" i="6" s="1"/>
  <c r="D74" i="6"/>
  <c r="D75" i="6"/>
  <c r="C63" i="6"/>
  <c r="D76" i="6"/>
  <c r="E89" i="6" s="1"/>
  <c r="E60" i="6"/>
  <c r="E85" i="6" s="1"/>
  <c r="BE64" i="6"/>
  <c r="BF61" i="6"/>
  <c r="BF86" i="6" s="1"/>
  <c r="BF62" i="6"/>
  <c r="BF87" i="6" s="1"/>
  <c r="BF63" i="6"/>
  <c r="BE61" i="6"/>
  <c r="BE86" i="6" s="1"/>
  <c r="BE63" i="6"/>
  <c r="BD61" i="6"/>
  <c r="BD86" i="6" s="1"/>
  <c r="BD62" i="6"/>
  <c r="BD63" i="6"/>
  <c r="BD64" i="6"/>
  <c r="BF60" i="6"/>
  <c r="BF85" i="6" s="1"/>
  <c r="BE60" i="6"/>
  <c r="BD60" i="6"/>
  <c r="AY61" i="6"/>
  <c r="AY86" i="6" s="1"/>
  <c r="AY62" i="6"/>
  <c r="AY63" i="6"/>
  <c r="AY64" i="6"/>
  <c r="AY89" i="6" s="1"/>
  <c r="AX64" i="6"/>
  <c r="AX89" i="6" s="1"/>
  <c r="AX61" i="6"/>
  <c r="AX86" i="6" s="1"/>
  <c r="AX62" i="6"/>
  <c r="AX87" i="6" s="1"/>
  <c r="AW61" i="6"/>
  <c r="AW62" i="6"/>
  <c r="AW87" i="6" s="1"/>
  <c r="AW63" i="6"/>
  <c r="AW88" i="6" s="1"/>
  <c r="AW64" i="6"/>
  <c r="AW89" i="6"/>
  <c r="AY60" i="6"/>
  <c r="AY85" i="6" s="1"/>
  <c r="AW60" i="6"/>
  <c r="L61" i="6"/>
  <c r="L62" i="6"/>
  <c r="L63" i="6"/>
  <c r="L64" i="6"/>
  <c r="K61" i="6"/>
  <c r="K62" i="6"/>
  <c r="K63" i="6"/>
  <c r="K64" i="6"/>
  <c r="J61" i="6"/>
  <c r="J86" i="6" s="1"/>
  <c r="J62" i="6"/>
  <c r="J87" i="6" s="1"/>
  <c r="J63" i="6"/>
  <c r="L60" i="6"/>
  <c r="L85" i="6" s="1"/>
  <c r="K60" i="6"/>
  <c r="J60" i="6"/>
  <c r="J85" i="6"/>
  <c r="F61" i="6"/>
  <c r="F62" i="6"/>
  <c r="F63" i="6"/>
  <c r="F64" i="6"/>
  <c r="F60" i="6"/>
  <c r="E61" i="6"/>
  <c r="E62" i="6"/>
  <c r="E87" i="6"/>
  <c r="E63" i="6"/>
  <c r="E88" i="6" s="1"/>
  <c r="E64" i="6"/>
  <c r="D61" i="6"/>
  <c r="D62" i="6"/>
  <c r="D63" i="6"/>
  <c r="D64" i="6"/>
  <c r="D60" i="6"/>
  <c r="D85" i="6" s="1"/>
  <c r="C62" i="6"/>
  <c r="C64" i="6"/>
  <c r="C60" i="6"/>
  <c r="C85" i="6" s="1"/>
  <c r="G10" i="5"/>
  <c r="F10" i="5"/>
  <c r="E10" i="5"/>
  <c r="D10" i="5"/>
  <c r="BE85" i="6"/>
  <c r="BF88" i="6" l="1"/>
  <c r="BD87" i="6"/>
  <c r="BE87" i="6"/>
  <c r="BD88" i="6"/>
  <c r="BE89" i="6"/>
  <c r="BF89" i="6"/>
  <c r="BE88" i="6"/>
  <c r="AX88" i="6"/>
  <c r="AY88" i="6"/>
  <c r="AY87" i="6"/>
  <c r="AW86" i="6"/>
  <c r="AQ89" i="6"/>
  <c r="AR88" i="6"/>
  <c r="AQ87" i="6"/>
  <c r="AP85" i="6"/>
  <c r="AP87" i="6"/>
  <c r="AP86" i="6"/>
  <c r="AH86" i="6"/>
  <c r="AI86" i="6"/>
  <c r="AI87" i="6"/>
  <c r="AI89" i="6"/>
  <c r="AH85" i="6"/>
  <c r="AH88" i="6"/>
  <c r="AJ85" i="6"/>
  <c r="AJ88" i="6"/>
  <c r="Z86" i="6"/>
  <c r="Z88" i="6"/>
  <c r="Y85" i="6"/>
  <c r="AA85" i="6"/>
  <c r="AA87" i="6"/>
  <c r="AA89" i="6"/>
  <c r="Z89" i="6"/>
  <c r="R87" i="6"/>
  <c r="S88" i="6"/>
  <c r="T87" i="6"/>
  <c r="R89" i="6"/>
  <c r="T89" i="6"/>
  <c r="T85" i="6"/>
  <c r="T86" i="6"/>
  <c r="K89" i="6"/>
  <c r="L88" i="6"/>
  <c r="K85" i="6"/>
  <c r="L89" i="6"/>
  <c r="L86" i="6"/>
  <c r="D87" i="6"/>
  <c r="D88" i="6"/>
  <c r="D89" i="6"/>
  <c r="C89" i="6"/>
  <c r="C88" i="6"/>
  <c r="D86" i="6"/>
  <c r="C87" i="6"/>
  <c r="L87" i="6"/>
  <c r="K86" i="6"/>
  <c r="K88" i="6"/>
  <c r="R85" i="6"/>
  <c r="BD89" i="6"/>
</calcChain>
</file>

<file path=xl/sharedStrings.xml><?xml version="1.0" encoding="utf-8"?>
<sst xmlns="http://schemas.openxmlformats.org/spreadsheetml/2006/main" count="790" uniqueCount="132">
  <si>
    <t>2010-2011</t>
  </si>
  <si>
    <t>Asian</t>
  </si>
  <si>
    <t>All Students</t>
  </si>
  <si>
    <t>Female</t>
  </si>
  <si>
    <t>Male</t>
  </si>
  <si>
    <t>ISS Percent</t>
  </si>
  <si>
    <t>OSS Percent</t>
  </si>
  <si>
    <t>DAEP Percent</t>
  </si>
  <si>
    <t>JJAEP Percent</t>
  </si>
  <si>
    <t>AISD student and discipline actions by race and gender (percentage based on students, not actions)</t>
  </si>
  <si>
    <t>American Indian or Alaska Native</t>
  </si>
  <si>
    <t>Black of African American</t>
  </si>
  <si>
    <t>Hispanic/ Latino</t>
  </si>
  <si>
    <t>Two or more races</t>
  </si>
  <si>
    <t>Native Hawaian/Other Pacific</t>
  </si>
  <si>
    <t>White</t>
  </si>
  <si>
    <t>DAEP Students</t>
  </si>
  <si>
    <t>Black or African American</t>
  </si>
  <si>
    <t>2013-2014</t>
  </si>
  <si>
    <t>2011-2012</t>
  </si>
  <si>
    <t>2012-2013</t>
  </si>
  <si>
    <t>Austin ISD Breakdown of Disciplinary Actions</t>
  </si>
  <si>
    <t>Disciplinary Action Breakdown</t>
  </si>
  <si>
    <t>Source: Texas Education Agency, Discipline Data Products, Discipline Reports: http://ritter.tea.state.tx.us/adhocrpt/Disciplinary_Data_Products/Disciplinary_Data_Products.html</t>
  </si>
  <si>
    <t>Source: Texas Education Agency, Discipline Data Products, Discipline Action Group Summary Reports: http://ritter.tea.state.tx.us/adhocrpt/Disciplinary_Data_Products/Disciplinary_Data_Products.html</t>
  </si>
  <si>
    <t>Note: Percentages Represent Count of Students Subject to a Disciplinary Action as a Percentage of All Students within a Given Group</t>
  </si>
  <si>
    <t>Manor ISD, 2013-2014</t>
  </si>
  <si>
    <t>Pflugerville ISD, 2013-2014</t>
  </si>
  <si>
    <t>Percent of Students of Each Racial or Ethnic Group Subject to Each Type of Disciplinary Action at Some Point During the School Year</t>
  </si>
  <si>
    <t>Number of Students Subject to Each Type of Disciplinary Action</t>
  </si>
  <si>
    <t>Students of Given Racial or Ethnic Group, as a Percentage of Total Students Subject to a Given Type of School Discipline</t>
  </si>
  <si>
    <t>Student Discipline by Race and Ethnicity</t>
  </si>
  <si>
    <t>Note: Percentages are the count of students subject to a particular disciplinary action divided by the district cumulative year-end enrollement</t>
  </si>
  <si>
    <t>Note: Percentages represent count of students subject to a disciplinary action at some point during the school year, rather than distinct disciplinary actions (students may be subject to more than one type of disciplinary action, or a given type of action more than once, during the school year)</t>
  </si>
  <si>
    <t>ISS</t>
  </si>
  <si>
    <t>OSS</t>
  </si>
  <si>
    <t>DAEP</t>
  </si>
  <si>
    <t>JJAEP</t>
  </si>
  <si>
    <t>Overall Student Population</t>
  </si>
  <si>
    <t>Number</t>
  </si>
  <si>
    <t>Percent</t>
  </si>
  <si>
    <t>Disproportionality Ratios for School Discipline</t>
  </si>
  <si>
    <t>Note: JJAEP excluded, due to small numbers and limited data</t>
  </si>
  <si>
    <t>Austin ISD In-School Suspension</t>
  </si>
  <si>
    <t>Total students (and total by race) represents Cumulative Year-End Enrollment and may differ from other estimates of the total student populations, including among other Texas Education Agency reports, such as the Texas Academic Performance Reports (TAPR measures enrollment on a given day in October of each year)</t>
  </si>
  <si>
    <t>AISD Disciplinary Alternative Education Program Placements by Gender</t>
  </si>
  <si>
    <t>2008-2009</t>
  </si>
  <si>
    <t>2009-2010</t>
  </si>
  <si>
    <t>AISD Top Reasons for Discipline Actions, DAEP students 2013-2014</t>
  </si>
  <si>
    <t>3. DAEP</t>
  </si>
  <si>
    <t>02-CONDUCT PUNISHABLE AS A FELONY</t>
  </si>
  <si>
    <t>04-CONTROLLED SUBSTANCE/DRUGS</t>
  </si>
  <si>
    <t>05-ALCOHOL VIOLATION</t>
  </si>
  <si>
    <t>07-PUBLIC LEWDNESS/INDCT EXPOSURE</t>
  </si>
  <si>
    <t>08-RETALIATION AGAINST DIST EMPL</t>
  </si>
  <si>
    <t>09-TITLE 5 FELONY - OFF CAMPUS</t>
  </si>
  <si>
    <t>10-NON-TITLE 5 FELONY-OFF CAMPUS</t>
  </si>
  <si>
    <t>N/A</t>
  </si>
  <si>
    <t>12-ILLEGAL KNIFE</t>
  </si>
  <si>
    <t>14-PROHIBITED WEAPON</t>
  </si>
  <si>
    <t>18-INDECENCY WITH A CHILD</t>
  </si>
  <si>
    <t>21-VIOLATED LOCAL CODE OF CONDUCT</t>
  </si>
  <si>
    <t>22-CRIMINAL MISCHIEF</t>
  </si>
  <si>
    <t>23-EMERGENCY PLACEMENT/EXPULSION</t>
  </si>
  <si>
    <t>26-TERRORISTIC THREAT</t>
  </si>
  <si>
    <t>27-ASSAULT-DISTRICT EMPLOYEE</t>
  </si>
  <si>
    <t>28-ASSAULT-NONDISTRICT EMPLOYEE</t>
  </si>
  <si>
    <t>32-SEXUAL ASSAULT-NONDIST EMPLOYE</t>
  </si>
  <si>
    <t>34-SCHOOL-RELATED GANG VIOLENCE</t>
  </si>
  <si>
    <t>35-FALSE ALARM/FALSE REPORT</t>
  </si>
  <si>
    <t>36-FELONY CONTROLLED SUBS VIOLAT</t>
  </si>
  <si>
    <t>41-FIGHTING/MUTUAL COMBAT</t>
  </si>
  <si>
    <t>46-AGGRAVATED ROBBERY</t>
  </si>
  <si>
    <t>50-NON-ILLEGAL KNIFE</t>
  </si>
  <si>
    <t>Reason</t>
  </si>
  <si>
    <t>Students</t>
  </si>
  <si>
    <t>Incidents</t>
  </si>
  <si>
    <t>Controlled Substance/Drugs</t>
  </si>
  <si>
    <t>Violated Local Code of Conduct</t>
  </si>
  <si>
    <t>Assault- Non-District Employee</t>
  </si>
  <si>
    <t>Emergency Placement/Expulsion</t>
  </si>
  <si>
    <t>Alcohol Violation</t>
  </si>
  <si>
    <t xml:space="preserve"> </t>
  </si>
  <si>
    <t>2005-2006</t>
  </si>
  <si>
    <t>2006-2007</t>
  </si>
  <si>
    <t>2007-2008</t>
  </si>
  <si>
    <t>Austin ISD</t>
  </si>
  <si>
    <t>Del Valle ISD</t>
  </si>
  <si>
    <t>Eanes ISD</t>
  </si>
  <si>
    <t>Lago Vista ISD</t>
  </si>
  <si>
    <t>Lake Travis ISD</t>
  </si>
  <si>
    <t>Manor ISD</t>
  </si>
  <si>
    <t>Pflugerville ISD</t>
  </si>
  <si>
    <t>Texas</t>
  </si>
  <si>
    <t>Note: Percentages are the count of discretionary disciplinary actions in a given school year divided by the district cumulative year-end enrollement. A given student may face multiple disciplinary actions in a given school year- figures are presented as percentages to standardize across districts and years</t>
  </si>
  <si>
    <t>Discretionary Removal Actions to DAEP as a Percentage of Cumulative Student Enrollment</t>
  </si>
  <si>
    <t>Discretionary Removal Actions to DAEP</t>
  </si>
  <si>
    <t>NA</t>
  </si>
  <si>
    <t>AISD students ISS by race for 4 school years</t>
  </si>
  <si>
    <t>Del Valle ISD Breakdown of Disciplinary Actions</t>
  </si>
  <si>
    <t>Manor ISD Breakdown of Disciplinary Actions</t>
  </si>
  <si>
    <t>Pflugerville ISD Breakdown of Disciplinary Actions</t>
  </si>
  <si>
    <t>Del Valle Disciplinary Alternative Education Program Placements by Gender</t>
  </si>
  <si>
    <t>Manor Disciplinary Alternative Education Program Placements by Gender</t>
  </si>
  <si>
    <t>Pflugerville Disciplinary Alternative Education Program Placements by Gender</t>
  </si>
  <si>
    <t>Eanes ISD Breakdown of Disciplinary Actions</t>
  </si>
  <si>
    <t>Lago Vista ISD Breakdown of Disciplinary Actions</t>
  </si>
  <si>
    <t>Lake Travis ISD Breakdown of Disciplinary Actions</t>
  </si>
  <si>
    <t>Lake Travis ISD, 2013-2014</t>
  </si>
  <si>
    <t>Eanes Disciplinary Alternative Education Program Placements by Gender</t>
  </si>
  <si>
    <t>Lago Vista Disciplinary Alternative Education Program Placements by Gender</t>
  </si>
  <si>
    <t>Lake Travis Disciplinary Alternative Education Program Placements by Gender</t>
  </si>
  <si>
    <t>Leander ISD Breakdown of Disciplinary Actions</t>
  </si>
  <si>
    <t>Leander ISD</t>
  </si>
  <si>
    <t>Leander Disciplinary Alternative Education Program Placements by Gender</t>
  </si>
  <si>
    <t>Total</t>
  </si>
  <si>
    <t>2014-2015</t>
  </si>
  <si>
    <t>2015-2016</t>
  </si>
  <si>
    <t>2016-2017</t>
  </si>
  <si>
    <t>2017-2018</t>
  </si>
  <si>
    <t>2018-2019</t>
  </si>
  <si>
    <t>Source: Texas Education Agency, Discipline Data Products, Discipline Action Group Summary Reports: https://rptsvr1.tea.texas.gov/adhocrpt/Disciplinary_Data_Products/DAG_Summaries/Download_DAG_District_Summaries.html</t>
  </si>
  <si>
    <t>Austin ISD, 2018-2019</t>
  </si>
  <si>
    <t>Del Valle ISD, 2018-2019</t>
  </si>
  <si>
    <t>Eanes ISD, 2018-2019</t>
  </si>
  <si>
    <t>Leander ISD, 2018-2019</t>
  </si>
  <si>
    <t>Lago Vista ISD, 2018-2019</t>
  </si>
  <si>
    <t>Lake Travis ISD, 2018-2019</t>
  </si>
  <si>
    <t>Manor ISD, 2018-2019</t>
  </si>
  <si>
    <t>Pflugerville ISD, 2018-2019</t>
  </si>
  <si>
    <t>Source: Texas Education Agency, Discipline Data Products, Discipline Action Group Summary Reports: District Level Annual Discipline Summary https://rptsvr1.tea.texas.gov/adhocrpt/Disciplinary_Data_Products/DAG_Summaries/Download_DAG_District_Summaries.html</t>
  </si>
  <si>
    <t>Source: Texas Education Agency, Discipline Data Products, Discipline Reports: https://rptsvr1.tea.texas.gov/adhocrpt/Disciplinary_Data_Products/Download_District_Summaries.html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</si>
</sst>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7" x14ac:knownFonts="1">
    <font>
      <sz val="10"/>
      <name val="Arial"/>
    </font>
    <font>
      <sz val="10"/>
      <name val="Arial"/>
    </font>
    <font>
      <b/>
      <sz val="10"/>
      <name val="Arial"/>
      <family val="2"/>
    </font>
    <font>
      <b/>
      <sz val="15"/>
      <color indexed="56"/>
      <name val="Calibri"/>
      <family val="2"/>
    </font>
    <font>
      <sz val="10"/>
      <name val="Arial"/>
      <family val="2"/>
    </font>
    <font>
      <sz val="10"/>
      <color theme="1"/>
      <name val="Arial"/>
    </font>
    <font>
      <b/>
      <sz val="10"/>
      <color theme="0"/>
      <name val="Arial"/>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s>
  <borders count="7">
    <border>
      <left/>
      <right/>
      <top/>
      <bottom/>
      <diagonal/>
    </border>
    <border>
      <left/>
      <right/>
      <top/>
      <bottom style="thick">
        <color indexed="62"/>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s>
  <cellStyleXfs count="4">
    <xf numFmtId="0" fontId="0" fillId="0" borderId="0"/>
    <xf numFmtId="43" fontId="1" fillId="0" borderId="0" applyFont="0" applyFill="0" applyBorder="0" applyAlignment="0" applyProtection="0"/>
    <xf numFmtId="0" fontId="3" fillId="0" borderId="1" applyNumberFormat="0" applyFill="0" applyAlignment="0" applyProtection="0"/>
    <xf numFmtId="9" fontId="1" fillId="0" borderId="0" applyFont="0" applyFill="0" applyBorder="0" applyAlignment="0" applyProtection="0"/>
  </cellStyleXfs>
  <cellXfs count="26">
    <xf numFmtId="0" fontId="0" fillId="0" borderId="0" xfId="0"/>
    <xf numFmtId="0" fontId="2" fillId="0" borderId="0" xfId="0" applyFont="1"/>
    <xf numFmtId="0" fontId="0" fillId="0" borderId="0" xfId="0" applyAlignment="1">
      <alignment wrapText="1"/>
    </xf>
    <xf numFmtId="0" fontId="0" fillId="0" borderId="0" xfId="0" applyAlignment="1"/>
    <xf numFmtId="0" fontId="4" fillId="0" borderId="0" xfId="0" applyFont="1"/>
    <xf numFmtId="164" fontId="0" fillId="0" borderId="0" xfId="3" applyNumberFormat="1" applyFont="1"/>
    <xf numFmtId="9" fontId="0" fillId="0" borderId="0" xfId="3" applyFont="1"/>
    <xf numFmtId="10" fontId="0" fillId="0" borderId="0" xfId="3" applyNumberFormat="1" applyFont="1"/>
    <xf numFmtId="43" fontId="0" fillId="0" borderId="0" xfId="1" applyFont="1"/>
    <xf numFmtId="165" fontId="0" fillId="0" borderId="0" xfId="1" applyNumberFormat="1" applyFont="1"/>
    <xf numFmtId="9" fontId="0" fillId="0" borderId="0" xfId="0" applyNumberFormat="1"/>
    <xf numFmtId="10" fontId="0" fillId="0" borderId="0" xfId="0" applyNumberFormat="1"/>
    <xf numFmtId="0" fontId="4" fillId="0" borderId="0" xfId="0" applyFont="1" applyAlignment="1">
      <alignment wrapText="1"/>
    </xf>
    <xf numFmtId="2" fontId="0" fillId="0" borderId="0" xfId="1" applyNumberFormat="1" applyFont="1"/>
    <xf numFmtId="164" fontId="5" fillId="2" borderId="2" xfId="3" applyNumberFormat="1" applyFont="1" applyFill="1" applyBorder="1"/>
    <xf numFmtId="165" fontId="5" fillId="2" borderId="2" xfId="1" applyNumberFormat="1" applyFont="1" applyFill="1" applyBorder="1"/>
    <xf numFmtId="0" fontId="6" fillId="3" borderId="0" xfId="0" applyFont="1" applyFill="1" applyBorder="1"/>
    <xf numFmtId="0" fontId="6" fillId="3" borderId="3" xfId="0" applyFont="1" applyFill="1" applyBorder="1"/>
    <xf numFmtId="0" fontId="5" fillId="4" borderId="4" xfId="0" applyFont="1" applyFill="1" applyBorder="1"/>
    <xf numFmtId="164" fontId="5" fillId="4" borderId="5" xfId="3" applyNumberFormat="1" applyFont="1" applyFill="1" applyBorder="1"/>
    <xf numFmtId="0" fontId="5" fillId="2" borderId="6" xfId="0" applyFont="1" applyFill="1" applyBorder="1"/>
    <xf numFmtId="0" fontId="5" fillId="4" borderId="6" xfId="0" applyFont="1" applyFill="1" applyBorder="1"/>
    <xf numFmtId="164" fontId="5" fillId="4" borderId="2" xfId="3" applyNumberFormat="1" applyFont="1" applyFill="1" applyBorder="1"/>
    <xf numFmtId="165" fontId="5" fillId="4" borderId="5" xfId="1" applyNumberFormat="1" applyFont="1" applyFill="1" applyBorder="1"/>
    <xf numFmtId="165" fontId="5" fillId="4" borderId="2" xfId="1" applyNumberFormat="1" applyFont="1" applyFill="1" applyBorder="1"/>
    <xf numFmtId="0" fontId="3" fillId="0" borderId="0" xfId="2" applyBorder="1" applyAlignment="1">
      <alignment horizontal="center"/>
    </xf>
  </cellXfs>
  <cellStyles count="4">
    <cellStyle name="Comma" xfId="1" builtinId="3"/>
    <cellStyle name="Heading 1" xfId="2" builtinId="16"/>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Percent of Students Subject to Each Type of Disciplinary Action,</a:t>
            </a:r>
          </a:p>
          <a:p>
            <a:pPr>
              <a:defRPr b="0"/>
            </a:pPr>
            <a:r>
              <a:rPr lang="en-US" b="0"/>
              <a:t>Austin ISD, by School Year</a:t>
            </a:r>
          </a:p>
        </c:rich>
      </c:tx>
      <c:overlay val="0"/>
    </c:title>
    <c:autoTitleDeleted val="0"/>
    <c:plotArea>
      <c:layout/>
      <c:barChart>
        <c:barDir val="col"/>
        <c:grouping val="clustered"/>
        <c:varyColors val="0"/>
        <c:ser>
          <c:idx val="0"/>
          <c:order val="0"/>
          <c:tx>
            <c:strRef>
              <c:f>'Overall Breakdown'!$B$10</c:f>
              <c:strCache>
                <c:ptCount val="1"/>
                <c:pt idx="0">
                  <c:v>2013-2014</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Breakdown'!$D$10:$G$10</c:f>
              <c:numCache>
                <c:formatCode>0.0%</c:formatCode>
                <c:ptCount val="4"/>
                <c:pt idx="0">
                  <c:v>3.7592175225925034E-2</c:v>
                </c:pt>
                <c:pt idx="1">
                  <c:v>4.5381939126058514E-2</c:v>
                </c:pt>
                <c:pt idx="2">
                  <c:v>1.3741493621583773E-2</c:v>
                </c:pt>
                <c:pt idx="3">
                  <c:v>3.5010174832060569E-4</c:v>
                </c:pt>
              </c:numCache>
            </c:numRef>
          </c:val>
          <c:extLst>
            <c:ext xmlns:c16="http://schemas.microsoft.com/office/drawing/2014/chart" uri="{C3380CC4-5D6E-409C-BE32-E72D297353CC}">
              <c16:uniqueId val="{00000000-6BE0-42B7-A07E-48AE536739F9}"/>
            </c:ext>
          </c:extLst>
        </c:ser>
        <c:ser>
          <c:idx val="1"/>
          <c:order val="1"/>
          <c:tx>
            <c:strRef>
              <c:f>'Overall Breakdown'!$B$11</c:f>
              <c:strCache>
                <c:ptCount val="1"/>
                <c:pt idx="0">
                  <c:v>2014-2015</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Breakdown'!$D$11:$G$11</c:f>
              <c:numCache>
                <c:formatCode>0.0%</c:formatCode>
                <c:ptCount val="4"/>
                <c:pt idx="0">
                  <c:v>3.5389036251105219E-2</c:v>
                </c:pt>
                <c:pt idx="1">
                  <c:v>4.2705570291777191E-2</c:v>
                </c:pt>
                <c:pt idx="2">
                  <c:v>1.3406277630415561E-2</c:v>
                </c:pt>
                <c:pt idx="3">
                  <c:v>3.2051282051282051E-4</c:v>
                </c:pt>
              </c:numCache>
            </c:numRef>
          </c:val>
          <c:extLst>
            <c:ext xmlns:c16="http://schemas.microsoft.com/office/drawing/2014/chart" uri="{C3380CC4-5D6E-409C-BE32-E72D297353CC}">
              <c16:uniqueId val="{00000001-6BE0-42B7-A07E-48AE536739F9}"/>
            </c:ext>
          </c:extLst>
        </c:ser>
        <c:ser>
          <c:idx val="2"/>
          <c:order val="2"/>
          <c:tx>
            <c:strRef>
              <c:f>'Overall Breakdown'!$B$12</c:f>
              <c:strCache>
                <c:ptCount val="1"/>
                <c:pt idx="0">
                  <c:v>2015-2016</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Breakdown'!$D$12:$G$12</c:f>
              <c:numCache>
                <c:formatCode>0.0%</c:formatCode>
                <c:ptCount val="4"/>
                <c:pt idx="0">
                  <c:v>3.5035715479679506E-2</c:v>
                </c:pt>
                <c:pt idx="1">
                  <c:v>3.9671484449000968E-2</c:v>
                </c:pt>
                <c:pt idx="2">
                  <c:v>1.2447485429644405E-2</c:v>
                </c:pt>
                <c:pt idx="3">
                  <c:v>4.9032171790900074E-4</c:v>
                </c:pt>
              </c:numCache>
            </c:numRef>
          </c:val>
          <c:extLst>
            <c:ext xmlns:c16="http://schemas.microsoft.com/office/drawing/2014/chart" uri="{C3380CC4-5D6E-409C-BE32-E72D297353CC}">
              <c16:uniqueId val="{00000002-6BE0-42B7-A07E-48AE536739F9}"/>
            </c:ext>
          </c:extLst>
        </c:ser>
        <c:ser>
          <c:idx val="3"/>
          <c:order val="3"/>
          <c:tx>
            <c:strRef>
              <c:f>'Overall Breakdown'!$B$13</c:f>
              <c:strCache>
                <c:ptCount val="1"/>
                <c:pt idx="0">
                  <c:v>2016-2017</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Breakdown'!$D$13:$G$13</c:f>
              <c:numCache>
                <c:formatCode>0.0%</c:formatCode>
                <c:ptCount val="4"/>
                <c:pt idx="0">
                  <c:v>3.7706646329153673E-2</c:v>
                </c:pt>
                <c:pt idx="1">
                  <c:v>3.6001884210762433E-2</c:v>
                </c:pt>
                <c:pt idx="2">
                  <c:v>1.2393171979094232E-2</c:v>
                </c:pt>
                <c:pt idx="3">
                  <c:v>4.9348377111325449E-4</c:v>
                </c:pt>
              </c:numCache>
            </c:numRef>
          </c:val>
          <c:extLst>
            <c:ext xmlns:c16="http://schemas.microsoft.com/office/drawing/2014/chart" uri="{C3380CC4-5D6E-409C-BE32-E72D297353CC}">
              <c16:uniqueId val="{00000003-6BE0-42B7-A07E-48AE536739F9}"/>
            </c:ext>
          </c:extLst>
        </c:ser>
        <c:ser>
          <c:idx val="4"/>
          <c:order val="4"/>
          <c:tx>
            <c:strRef>
              <c:f>'Overall Breakdown'!$B$14</c:f>
              <c:strCache>
                <c:ptCount val="1"/>
                <c:pt idx="0">
                  <c:v>2017-2018</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Breakdown'!$D$14:$G$14</c:f>
              <c:numCache>
                <c:formatCode>0.0%</c:formatCode>
                <c:ptCount val="4"/>
                <c:pt idx="0">
                  <c:v>4.1470483784124365E-2</c:v>
                </c:pt>
                <c:pt idx="1">
                  <c:v>3.4654202609661934E-2</c:v>
                </c:pt>
                <c:pt idx="2">
                  <c:v>1.1100800769838815E-2</c:v>
                </c:pt>
                <c:pt idx="3">
                  <c:v>3.207661729158791E-4</c:v>
                </c:pt>
              </c:numCache>
            </c:numRef>
          </c:val>
          <c:extLst>
            <c:ext xmlns:c16="http://schemas.microsoft.com/office/drawing/2014/chart" uri="{C3380CC4-5D6E-409C-BE32-E72D297353CC}">
              <c16:uniqueId val="{00000004-6BE0-42B7-A07E-48AE536739F9}"/>
            </c:ext>
          </c:extLst>
        </c:ser>
        <c:ser>
          <c:idx val="5"/>
          <c:order val="5"/>
          <c:tx>
            <c:strRef>
              <c:f>'Overall Breakdown'!$B$15</c:f>
              <c:strCache>
                <c:ptCount val="1"/>
                <c:pt idx="0">
                  <c:v>2018-2019</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Breakdown'!$D$15:$G$15</c:f>
              <c:numCache>
                <c:formatCode>0.0%</c:formatCode>
                <c:ptCount val="4"/>
                <c:pt idx="0">
                  <c:v>3.9455576030416835E-2</c:v>
                </c:pt>
                <c:pt idx="1">
                  <c:v>3.174640199668774E-2</c:v>
                </c:pt>
                <c:pt idx="2">
                  <c:v>1.0869818758601386E-2</c:v>
                </c:pt>
                <c:pt idx="3">
                  <c:v>3.7321266123953257E-4</c:v>
                </c:pt>
              </c:numCache>
            </c:numRef>
          </c:val>
          <c:extLst>
            <c:ext xmlns:c16="http://schemas.microsoft.com/office/drawing/2014/chart" uri="{C3380CC4-5D6E-409C-BE32-E72D297353CC}">
              <c16:uniqueId val="{00000000-8432-48F2-851A-A4ED60791428}"/>
            </c:ext>
          </c:extLst>
        </c:ser>
        <c:dLbls>
          <c:showLegendKey val="0"/>
          <c:showVal val="0"/>
          <c:showCatName val="0"/>
          <c:showSerName val="0"/>
          <c:showPercent val="0"/>
          <c:showBubbleSize val="0"/>
        </c:dLbls>
        <c:gapWidth val="150"/>
        <c:axId val="531462608"/>
        <c:axId val="1"/>
      </c:barChart>
      <c:catAx>
        <c:axId val="531462608"/>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0.2"/>
        </c:scaling>
        <c:delete val="0"/>
        <c:axPos val="l"/>
        <c:majorGridlines/>
        <c:numFmt formatCode="0.0%" sourceLinked="1"/>
        <c:majorTickMark val="none"/>
        <c:minorTickMark val="none"/>
        <c:tickLblPos val="nextTo"/>
        <c:crossAx val="531462608"/>
        <c:crosses val="autoZero"/>
        <c:crossBetween val="between"/>
      </c:valAx>
    </c:plotArea>
    <c:legend>
      <c:legendPos val="r"/>
      <c:layout>
        <c:manualLayout>
          <c:xMode val="edge"/>
          <c:yMode val="edge"/>
          <c:x val="0.83615934542635706"/>
          <c:y val="0.39568472737396054"/>
          <c:w val="0.14157194863353945"/>
          <c:h val="0.43364300685435903"/>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Students Subject to School Disciplinary Action,</a:t>
            </a:r>
          </a:p>
          <a:p>
            <a:pPr>
              <a:defRPr/>
            </a:pPr>
            <a:r>
              <a:rPr lang="en-US"/>
              <a:t>Del Valle ISD, 2018-2019 School Year</a:t>
            </a:r>
          </a:p>
        </c:rich>
      </c:tx>
      <c:overlay val="0"/>
    </c:title>
    <c:autoTitleDeleted val="0"/>
    <c:plotArea>
      <c:layout/>
      <c:barChart>
        <c:barDir val="col"/>
        <c:grouping val="clustered"/>
        <c:varyColors val="0"/>
        <c:ser>
          <c:idx val="0"/>
          <c:order val="0"/>
          <c:tx>
            <c:strRef>
              <c:f>'Race by District'!$B$11</c:f>
              <c:strCache>
                <c:ptCount val="1"/>
                <c:pt idx="0">
                  <c:v>Asian</c:v>
                </c:pt>
              </c:strCache>
            </c:strRef>
          </c:tx>
          <c:spPr>
            <a:solidFill>
              <a:schemeClr val="accent6"/>
            </a:solidFill>
          </c:spPr>
          <c:invertIfNegative val="0"/>
          <c:cat>
            <c:strRef>
              <c:f>'Race by District'!$J$10:$M$10</c:f>
              <c:strCache>
                <c:ptCount val="4"/>
                <c:pt idx="0">
                  <c:v>ISS Percent</c:v>
                </c:pt>
                <c:pt idx="1">
                  <c:v>OSS Percent</c:v>
                </c:pt>
                <c:pt idx="2">
                  <c:v>DAEP Percent</c:v>
                </c:pt>
                <c:pt idx="3">
                  <c:v>JJAEP Percent</c:v>
                </c:pt>
              </c:strCache>
            </c:strRef>
          </c:cat>
          <c:val>
            <c:numRef>
              <c:f>'Race by District'!$J$11:$M$11</c:f>
              <c:numCache>
                <c:formatCode>0.00%</c:formatCode>
                <c:ptCount val="4"/>
                <c:pt idx="3">
                  <c:v>0</c:v>
                </c:pt>
              </c:numCache>
            </c:numRef>
          </c:val>
          <c:extLst>
            <c:ext xmlns:c16="http://schemas.microsoft.com/office/drawing/2014/chart" uri="{C3380CC4-5D6E-409C-BE32-E72D297353CC}">
              <c16:uniqueId val="{00000000-0F97-4A41-88C9-77A367A3EE48}"/>
            </c:ext>
          </c:extLst>
        </c:ser>
        <c:ser>
          <c:idx val="1"/>
          <c:order val="1"/>
          <c:tx>
            <c:strRef>
              <c:f>'Race by District'!$B$12</c:f>
              <c:strCache>
                <c:ptCount val="1"/>
                <c:pt idx="0">
                  <c:v>Black or African American</c:v>
                </c:pt>
              </c:strCache>
            </c:strRef>
          </c:tx>
          <c:spPr>
            <a:solidFill>
              <a:schemeClr val="accent1"/>
            </a:solidFill>
          </c:spPr>
          <c:invertIfNegative val="0"/>
          <c:cat>
            <c:strRef>
              <c:f>'Race by District'!$J$10:$M$10</c:f>
              <c:strCache>
                <c:ptCount val="4"/>
                <c:pt idx="0">
                  <c:v>ISS Percent</c:v>
                </c:pt>
                <c:pt idx="1">
                  <c:v>OSS Percent</c:v>
                </c:pt>
                <c:pt idx="2">
                  <c:v>DAEP Percent</c:v>
                </c:pt>
                <c:pt idx="3">
                  <c:v>JJAEP Percent</c:v>
                </c:pt>
              </c:strCache>
            </c:strRef>
          </c:cat>
          <c:val>
            <c:numRef>
              <c:f>'Race by District'!$J$12:$M$12</c:f>
              <c:numCache>
                <c:formatCode>0.00%</c:formatCode>
                <c:ptCount val="4"/>
                <c:pt idx="0">
                  <c:v>0.14028436018957346</c:v>
                </c:pt>
                <c:pt idx="1">
                  <c:v>8.5308056872037921E-2</c:v>
                </c:pt>
                <c:pt idx="2">
                  <c:v>2.6540284360189573E-2</c:v>
                </c:pt>
              </c:numCache>
            </c:numRef>
          </c:val>
          <c:extLst>
            <c:ext xmlns:c16="http://schemas.microsoft.com/office/drawing/2014/chart" uri="{C3380CC4-5D6E-409C-BE32-E72D297353CC}">
              <c16:uniqueId val="{00000001-0F97-4A41-88C9-77A367A3EE48}"/>
            </c:ext>
          </c:extLst>
        </c:ser>
        <c:ser>
          <c:idx val="2"/>
          <c:order val="2"/>
          <c:tx>
            <c:strRef>
              <c:f>'Race by District'!$B$13</c:f>
              <c:strCache>
                <c:ptCount val="1"/>
                <c:pt idx="0">
                  <c:v>Hispanic/ Latino</c:v>
                </c:pt>
              </c:strCache>
            </c:strRef>
          </c:tx>
          <c:spPr>
            <a:solidFill>
              <a:schemeClr val="accent2"/>
            </a:solidFill>
          </c:spPr>
          <c:invertIfNegative val="0"/>
          <c:cat>
            <c:strRef>
              <c:f>'Race by District'!$J$10:$M$10</c:f>
              <c:strCache>
                <c:ptCount val="4"/>
                <c:pt idx="0">
                  <c:v>ISS Percent</c:v>
                </c:pt>
                <c:pt idx="1">
                  <c:v>OSS Percent</c:v>
                </c:pt>
                <c:pt idx="2">
                  <c:v>DAEP Percent</c:v>
                </c:pt>
                <c:pt idx="3">
                  <c:v>JJAEP Percent</c:v>
                </c:pt>
              </c:strCache>
            </c:strRef>
          </c:cat>
          <c:val>
            <c:numRef>
              <c:f>'Race by District'!$J$13:$M$13</c:f>
              <c:numCache>
                <c:formatCode>0.00%</c:formatCode>
                <c:ptCount val="4"/>
                <c:pt idx="0">
                  <c:v>8.1412602631318623E-2</c:v>
                </c:pt>
                <c:pt idx="1">
                  <c:v>4.7284597883074486E-2</c:v>
                </c:pt>
                <c:pt idx="2">
                  <c:v>2.2455237906815709E-2</c:v>
                </c:pt>
              </c:numCache>
            </c:numRef>
          </c:val>
          <c:extLst>
            <c:ext xmlns:c16="http://schemas.microsoft.com/office/drawing/2014/chart" uri="{C3380CC4-5D6E-409C-BE32-E72D297353CC}">
              <c16:uniqueId val="{00000002-0F97-4A41-88C9-77A367A3EE48}"/>
            </c:ext>
          </c:extLst>
        </c:ser>
        <c:ser>
          <c:idx val="3"/>
          <c:order val="3"/>
          <c:tx>
            <c:strRef>
              <c:f>'Race by District'!$B$14</c:f>
              <c:strCache>
                <c:ptCount val="1"/>
                <c:pt idx="0">
                  <c:v>Two or more races</c:v>
                </c:pt>
              </c:strCache>
            </c:strRef>
          </c:tx>
          <c:invertIfNegative val="0"/>
          <c:cat>
            <c:strRef>
              <c:f>'Race by District'!$J$10:$M$10</c:f>
              <c:strCache>
                <c:ptCount val="4"/>
                <c:pt idx="0">
                  <c:v>ISS Percent</c:v>
                </c:pt>
                <c:pt idx="1">
                  <c:v>OSS Percent</c:v>
                </c:pt>
                <c:pt idx="2">
                  <c:v>DAEP Percent</c:v>
                </c:pt>
                <c:pt idx="3">
                  <c:v>JJAEP Percent</c:v>
                </c:pt>
              </c:strCache>
            </c:strRef>
          </c:cat>
          <c:val>
            <c:numRef>
              <c:f>'Race by District'!$J$14:$M$14</c:f>
              <c:numCache>
                <c:formatCode>0.00%</c:formatCode>
                <c:ptCount val="4"/>
              </c:numCache>
            </c:numRef>
          </c:val>
          <c:extLst>
            <c:ext xmlns:c16="http://schemas.microsoft.com/office/drawing/2014/chart" uri="{C3380CC4-5D6E-409C-BE32-E72D297353CC}">
              <c16:uniqueId val="{00000003-0F97-4A41-88C9-77A367A3EE48}"/>
            </c:ext>
          </c:extLst>
        </c:ser>
        <c:ser>
          <c:idx val="4"/>
          <c:order val="4"/>
          <c:tx>
            <c:strRef>
              <c:f>'Race by District'!$B$15</c:f>
              <c:strCache>
                <c:ptCount val="1"/>
                <c:pt idx="0">
                  <c:v>White</c:v>
                </c:pt>
              </c:strCache>
            </c:strRef>
          </c:tx>
          <c:spPr>
            <a:solidFill>
              <a:schemeClr val="accent3"/>
            </a:solidFill>
          </c:spPr>
          <c:invertIfNegative val="0"/>
          <c:cat>
            <c:strRef>
              <c:f>'Race by District'!$J$10:$M$10</c:f>
              <c:strCache>
                <c:ptCount val="4"/>
                <c:pt idx="0">
                  <c:v>ISS Percent</c:v>
                </c:pt>
                <c:pt idx="1">
                  <c:v>OSS Percent</c:v>
                </c:pt>
                <c:pt idx="2">
                  <c:v>DAEP Percent</c:v>
                </c:pt>
                <c:pt idx="3">
                  <c:v>JJAEP Percent</c:v>
                </c:pt>
              </c:strCache>
            </c:strRef>
          </c:cat>
          <c:val>
            <c:numRef>
              <c:f>'Race by District'!$J$15:$M$15</c:f>
              <c:numCache>
                <c:formatCode>0.00%</c:formatCode>
                <c:ptCount val="4"/>
                <c:pt idx="0">
                  <c:v>6.5666041275797379E-2</c:v>
                </c:pt>
                <c:pt idx="1">
                  <c:v>3.1894934333958722E-2</c:v>
                </c:pt>
              </c:numCache>
            </c:numRef>
          </c:val>
          <c:extLst>
            <c:ext xmlns:c16="http://schemas.microsoft.com/office/drawing/2014/chart" uri="{C3380CC4-5D6E-409C-BE32-E72D297353CC}">
              <c16:uniqueId val="{00000004-0F97-4A41-88C9-77A367A3EE48}"/>
            </c:ext>
          </c:extLst>
        </c:ser>
        <c:ser>
          <c:idx val="5"/>
          <c:order val="5"/>
          <c:tx>
            <c:strRef>
              <c:f>'Race by District'!$B$16</c:f>
              <c:strCache>
                <c:ptCount val="1"/>
                <c:pt idx="0">
                  <c:v>All Students</c:v>
                </c:pt>
              </c:strCache>
            </c:strRef>
          </c:tx>
          <c:spPr>
            <a:solidFill>
              <a:schemeClr val="tx1"/>
            </a:solidFill>
          </c:spPr>
          <c:invertIfNegative val="0"/>
          <c:cat>
            <c:strRef>
              <c:f>'Race by District'!$J$10:$M$10</c:f>
              <c:strCache>
                <c:ptCount val="4"/>
                <c:pt idx="0">
                  <c:v>ISS Percent</c:v>
                </c:pt>
                <c:pt idx="1">
                  <c:v>OSS Percent</c:v>
                </c:pt>
                <c:pt idx="2">
                  <c:v>DAEP Percent</c:v>
                </c:pt>
                <c:pt idx="3">
                  <c:v>JJAEP Percent</c:v>
                </c:pt>
              </c:strCache>
            </c:strRef>
          </c:cat>
          <c:val>
            <c:numRef>
              <c:f>'Race by District'!$J$16:$M$16</c:f>
              <c:numCache>
                <c:formatCode>0.00%</c:formatCode>
                <c:ptCount val="4"/>
                <c:pt idx="0">
                  <c:v>8.5642737896494153E-2</c:v>
                </c:pt>
                <c:pt idx="1">
                  <c:v>4.9666110183639402E-2</c:v>
                </c:pt>
                <c:pt idx="2">
                  <c:v>2.2454090150250416E-2</c:v>
                </c:pt>
              </c:numCache>
            </c:numRef>
          </c:val>
          <c:extLst>
            <c:ext xmlns:c16="http://schemas.microsoft.com/office/drawing/2014/chart" uri="{C3380CC4-5D6E-409C-BE32-E72D297353CC}">
              <c16:uniqueId val="{00000005-0F97-4A41-88C9-77A367A3EE48}"/>
            </c:ext>
          </c:extLst>
        </c:ser>
        <c:dLbls>
          <c:showLegendKey val="0"/>
          <c:showVal val="0"/>
          <c:showCatName val="0"/>
          <c:showSerName val="0"/>
          <c:showPercent val="0"/>
          <c:showBubbleSize val="0"/>
        </c:dLbls>
        <c:gapWidth val="150"/>
        <c:axId val="531474768"/>
        <c:axId val="1"/>
      </c:barChart>
      <c:catAx>
        <c:axId val="53147476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0.30000000000000004"/>
        </c:scaling>
        <c:delete val="0"/>
        <c:axPos val="l"/>
        <c:majorGridlines/>
        <c:numFmt formatCode="0.00%" sourceLinked="1"/>
        <c:majorTickMark val="out"/>
        <c:minorTickMark val="none"/>
        <c:tickLblPos val="nextTo"/>
        <c:crossAx val="531474768"/>
        <c:crosses val="autoZero"/>
        <c:crossBetween val="between"/>
      </c:valAx>
    </c:plotArea>
    <c:legend>
      <c:legendPos val="r"/>
      <c:layout>
        <c:manualLayout>
          <c:xMode val="edge"/>
          <c:yMode val="edge"/>
          <c:x val="0.67019716678473584"/>
          <c:y val="0.36476570434696215"/>
          <c:w val="0.31013638643537433"/>
          <c:h val="0.44417048352453214"/>
        </c:manualLayout>
      </c:layout>
      <c:overlay val="0"/>
    </c:legend>
    <c:plotVisOnly val="1"/>
    <c:dispBlanksAs val="gap"/>
    <c:showDLblsOverMax val="0"/>
  </c:chart>
  <c:spPr>
    <a:ln>
      <a:noFill/>
    </a:ln>
  </c:spPr>
  <c:txPr>
    <a:bodyPr/>
    <a:lstStyle/>
    <a:p>
      <a:pPr>
        <a:defRPr sz="1000" b="0">
          <a:latin typeface="Corbel" panose="020B0503020204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Students Subject to School Disciplinary Action,</a:t>
            </a:r>
          </a:p>
          <a:p>
            <a:pPr>
              <a:defRPr/>
            </a:pPr>
            <a:r>
              <a:rPr lang="en-US"/>
              <a:t>Manor ISD, 2018-2019 School Year</a:t>
            </a:r>
          </a:p>
        </c:rich>
      </c:tx>
      <c:overlay val="0"/>
    </c:title>
    <c:autoTitleDeleted val="0"/>
    <c:plotArea>
      <c:layout/>
      <c:barChart>
        <c:barDir val="col"/>
        <c:grouping val="clustered"/>
        <c:varyColors val="0"/>
        <c:ser>
          <c:idx val="0"/>
          <c:order val="0"/>
          <c:tx>
            <c:strRef>
              <c:f>'Race by District'!$B$11</c:f>
              <c:strCache>
                <c:ptCount val="1"/>
                <c:pt idx="0">
                  <c:v>Asian</c:v>
                </c:pt>
              </c:strCache>
            </c:strRef>
          </c:tx>
          <c:spPr>
            <a:solidFill>
              <a:schemeClr val="accent6"/>
            </a:solidFill>
          </c:spPr>
          <c:invertIfNegative val="0"/>
          <c:cat>
            <c:strRef>
              <c:f>'Race by District'!$AW$10:$AZ$10</c:f>
              <c:strCache>
                <c:ptCount val="4"/>
                <c:pt idx="0">
                  <c:v>ISS Percent</c:v>
                </c:pt>
                <c:pt idx="1">
                  <c:v>OSS Percent</c:v>
                </c:pt>
                <c:pt idx="2">
                  <c:v>DAEP Percent</c:v>
                </c:pt>
                <c:pt idx="3">
                  <c:v>JJAEP Percent</c:v>
                </c:pt>
              </c:strCache>
            </c:strRef>
          </c:cat>
          <c:val>
            <c:numRef>
              <c:f>'Race by District'!$AW$11:$AZ$11</c:f>
              <c:numCache>
                <c:formatCode>0.00%</c:formatCode>
                <c:ptCount val="4"/>
                <c:pt idx="3">
                  <c:v>0</c:v>
                </c:pt>
              </c:numCache>
            </c:numRef>
          </c:val>
          <c:extLst>
            <c:ext xmlns:c16="http://schemas.microsoft.com/office/drawing/2014/chart" uri="{C3380CC4-5D6E-409C-BE32-E72D297353CC}">
              <c16:uniqueId val="{00000000-4BD3-4A73-9ED6-94B7D983BB82}"/>
            </c:ext>
          </c:extLst>
        </c:ser>
        <c:ser>
          <c:idx val="1"/>
          <c:order val="1"/>
          <c:tx>
            <c:strRef>
              <c:f>'Race by District'!$B$12</c:f>
              <c:strCache>
                <c:ptCount val="1"/>
                <c:pt idx="0">
                  <c:v>Black or African American</c:v>
                </c:pt>
              </c:strCache>
            </c:strRef>
          </c:tx>
          <c:spPr>
            <a:solidFill>
              <a:schemeClr val="accent1"/>
            </a:solidFill>
          </c:spPr>
          <c:invertIfNegative val="0"/>
          <c:cat>
            <c:strRef>
              <c:f>'Race by District'!$AW$10:$AZ$10</c:f>
              <c:strCache>
                <c:ptCount val="4"/>
                <c:pt idx="0">
                  <c:v>ISS Percent</c:v>
                </c:pt>
                <c:pt idx="1">
                  <c:v>OSS Percent</c:v>
                </c:pt>
                <c:pt idx="2">
                  <c:v>DAEP Percent</c:v>
                </c:pt>
                <c:pt idx="3">
                  <c:v>JJAEP Percent</c:v>
                </c:pt>
              </c:strCache>
            </c:strRef>
          </c:cat>
          <c:val>
            <c:numRef>
              <c:f>'Race by District'!$AW$12:$AZ$12</c:f>
              <c:numCache>
                <c:formatCode>0.00%</c:formatCode>
                <c:ptCount val="4"/>
                <c:pt idx="0">
                  <c:v>0.16235632183908047</c:v>
                </c:pt>
                <c:pt idx="1">
                  <c:v>0.11494252873563218</c:v>
                </c:pt>
                <c:pt idx="2">
                  <c:v>2.2030651340996167E-2</c:v>
                </c:pt>
              </c:numCache>
            </c:numRef>
          </c:val>
          <c:extLst>
            <c:ext xmlns:c16="http://schemas.microsoft.com/office/drawing/2014/chart" uri="{C3380CC4-5D6E-409C-BE32-E72D297353CC}">
              <c16:uniqueId val="{00000001-4BD3-4A73-9ED6-94B7D983BB82}"/>
            </c:ext>
          </c:extLst>
        </c:ser>
        <c:ser>
          <c:idx val="2"/>
          <c:order val="2"/>
          <c:tx>
            <c:strRef>
              <c:f>'Race by District'!$B$13</c:f>
              <c:strCache>
                <c:ptCount val="1"/>
                <c:pt idx="0">
                  <c:v>Hispanic/ Latino</c:v>
                </c:pt>
              </c:strCache>
            </c:strRef>
          </c:tx>
          <c:spPr>
            <a:solidFill>
              <a:schemeClr val="accent2"/>
            </a:solidFill>
          </c:spPr>
          <c:invertIfNegative val="0"/>
          <c:cat>
            <c:strRef>
              <c:f>'Race by District'!$AW$10:$AZ$10</c:f>
              <c:strCache>
                <c:ptCount val="4"/>
                <c:pt idx="0">
                  <c:v>ISS Percent</c:v>
                </c:pt>
                <c:pt idx="1">
                  <c:v>OSS Percent</c:v>
                </c:pt>
                <c:pt idx="2">
                  <c:v>DAEP Percent</c:v>
                </c:pt>
                <c:pt idx="3">
                  <c:v>JJAEP Percent</c:v>
                </c:pt>
              </c:strCache>
            </c:strRef>
          </c:cat>
          <c:val>
            <c:numRef>
              <c:f>'Race by District'!$AW$13:$AZ$13</c:f>
              <c:numCache>
                <c:formatCode>0.00%</c:formatCode>
                <c:ptCount val="4"/>
                <c:pt idx="0">
                  <c:v>0.11064530618356042</c:v>
                </c:pt>
                <c:pt idx="1">
                  <c:v>5.4199730498577632E-2</c:v>
                </c:pt>
                <c:pt idx="2">
                  <c:v>9.7319958077556525E-3</c:v>
                </c:pt>
                <c:pt idx="3">
                  <c:v>0</c:v>
                </c:pt>
              </c:numCache>
            </c:numRef>
          </c:val>
          <c:extLst>
            <c:ext xmlns:c16="http://schemas.microsoft.com/office/drawing/2014/chart" uri="{C3380CC4-5D6E-409C-BE32-E72D297353CC}">
              <c16:uniqueId val="{00000002-4BD3-4A73-9ED6-94B7D983BB82}"/>
            </c:ext>
          </c:extLst>
        </c:ser>
        <c:ser>
          <c:idx val="3"/>
          <c:order val="3"/>
          <c:tx>
            <c:strRef>
              <c:f>'Race by District'!$B$14</c:f>
              <c:strCache>
                <c:ptCount val="1"/>
                <c:pt idx="0">
                  <c:v>Two or more races</c:v>
                </c:pt>
              </c:strCache>
            </c:strRef>
          </c:tx>
          <c:invertIfNegative val="0"/>
          <c:cat>
            <c:strRef>
              <c:f>'Race by District'!$AW$10:$AZ$10</c:f>
              <c:strCache>
                <c:ptCount val="4"/>
                <c:pt idx="0">
                  <c:v>ISS Percent</c:v>
                </c:pt>
                <c:pt idx="1">
                  <c:v>OSS Percent</c:v>
                </c:pt>
                <c:pt idx="2">
                  <c:v>DAEP Percent</c:v>
                </c:pt>
                <c:pt idx="3">
                  <c:v>JJAEP Percent</c:v>
                </c:pt>
              </c:strCache>
            </c:strRef>
          </c:cat>
          <c:val>
            <c:numRef>
              <c:f>'Race by District'!$AW$14:$AZ$14</c:f>
              <c:numCache>
                <c:formatCode>0.00%</c:formatCode>
                <c:ptCount val="4"/>
                <c:pt idx="0">
                  <c:v>0.13468013468013468</c:v>
                </c:pt>
                <c:pt idx="1">
                  <c:v>6.7340067340067339E-2</c:v>
                </c:pt>
              </c:numCache>
            </c:numRef>
          </c:val>
          <c:extLst>
            <c:ext xmlns:c16="http://schemas.microsoft.com/office/drawing/2014/chart" uri="{C3380CC4-5D6E-409C-BE32-E72D297353CC}">
              <c16:uniqueId val="{00000003-4BD3-4A73-9ED6-94B7D983BB82}"/>
            </c:ext>
          </c:extLst>
        </c:ser>
        <c:ser>
          <c:idx val="4"/>
          <c:order val="4"/>
          <c:tx>
            <c:strRef>
              <c:f>'Race by District'!$B$15</c:f>
              <c:strCache>
                <c:ptCount val="1"/>
                <c:pt idx="0">
                  <c:v>White</c:v>
                </c:pt>
              </c:strCache>
            </c:strRef>
          </c:tx>
          <c:spPr>
            <a:solidFill>
              <a:schemeClr val="accent3"/>
            </a:solidFill>
          </c:spPr>
          <c:invertIfNegative val="0"/>
          <c:cat>
            <c:strRef>
              <c:f>'Race by District'!$AW$10:$AZ$10</c:f>
              <c:strCache>
                <c:ptCount val="4"/>
                <c:pt idx="0">
                  <c:v>ISS Percent</c:v>
                </c:pt>
                <c:pt idx="1">
                  <c:v>OSS Percent</c:v>
                </c:pt>
                <c:pt idx="2">
                  <c:v>DAEP Percent</c:v>
                </c:pt>
                <c:pt idx="3">
                  <c:v>JJAEP Percent</c:v>
                </c:pt>
              </c:strCache>
            </c:strRef>
          </c:cat>
          <c:val>
            <c:numRef>
              <c:f>'Race by District'!$AW$15:$AZ$15</c:f>
              <c:numCache>
                <c:formatCode>0.00%</c:formatCode>
                <c:ptCount val="4"/>
                <c:pt idx="0">
                  <c:v>0.11469072164948453</c:v>
                </c:pt>
                <c:pt idx="1">
                  <c:v>5.9278350515463915E-2</c:v>
                </c:pt>
              </c:numCache>
            </c:numRef>
          </c:val>
          <c:extLst>
            <c:ext xmlns:c16="http://schemas.microsoft.com/office/drawing/2014/chart" uri="{C3380CC4-5D6E-409C-BE32-E72D297353CC}">
              <c16:uniqueId val="{00000004-4BD3-4A73-9ED6-94B7D983BB82}"/>
            </c:ext>
          </c:extLst>
        </c:ser>
        <c:ser>
          <c:idx val="5"/>
          <c:order val="5"/>
          <c:tx>
            <c:strRef>
              <c:f>'Race by District'!$B$16</c:f>
              <c:strCache>
                <c:ptCount val="1"/>
                <c:pt idx="0">
                  <c:v>All Students</c:v>
                </c:pt>
              </c:strCache>
            </c:strRef>
          </c:tx>
          <c:spPr>
            <a:solidFill>
              <a:schemeClr val="tx1"/>
            </a:solidFill>
          </c:spPr>
          <c:invertIfNegative val="0"/>
          <c:cat>
            <c:strRef>
              <c:f>'Race by District'!$AW$10:$AZ$10</c:f>
              <c:strCache>
                <c:ptCount val="4"/>
                <c:pt idx="0">
                  <c:v>ISS Percent</c:v>
                </c:pt>
                <c:pt idx="1">
                  <c:v>OSS Percent</c:v>
                </c:pt>
                <c:pt idx="2">
                  <c:v>DAEP Percent</c:v>
                </c:pt>
                <c:pt idx="3">
                  <c:v>JJAEP Percent</c:v>
                </c:pt>
              </c:strCache>
            </c:strRef>
          </c:cat>
          <c:val>
            <c:numRef>
              <c:f>'Race by District'!$AW$16:$AZ$16</c:f>
              <c:numCache>
                <c:formatCode>0.00%</c:formatCode>
                <c:ptCount val="4"/>
                <c:pt idx="0">
                  <c:v>0.11922402027685709</c:v>
                </c:pt>
                <c:pt idx="1">
                  <c:v>6.5899785533242342E-2</c:v>
                </c:pt>
                <c:pt idx="2">
                  <c:v>1.2185611230259311E-2</c:v>
                </c:pt>
              </c:numCache>
            </c:numRef>
          </c:val>
          <c:extLst>
            <c:ext xmlns:c16="http://schemas.microsoft.com/office/drawing/2014/chart" uri="{C3380CC4-5D6E-409C-BE32-E72D297353CC}">
              <c16:uniqueId val="{00000005-4BD3-4A73-9ED6-94B7D983BB82}"/>
            </c:ext>
          </c:extLst>
        </c:ser>
        <c:dLbls>
          <c:showLegendKey val="0"/>
          <c:showVal val="0"/>
          <c:showCatName val="0"/>
          <c:showSerName val="0"/>
          <c:showPercent val="0"/>
          <c:showBubbleSize val="0"/>
        </c:dLbls>
        <c:gapWidth val="150"/>
        <c:axId val="542716944"/>
        <c:axId val="1"/>
      </c:barChart>
      <c:catAx>
        <c:axId val="54271694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0.30000000000000004"/>
        </c:scaling>
        <c:delete val="0"/>
        <c:axPos val="l"/>
        <c:majorGridlines/>
        <c:numFmt formatCode="0.00%" sourceLinked="1"/>
        <c:majorTickMark val="out"/>
        <c:minorTickMark val="none"/>
        <c:tickLblPos val="nextTo"/>
        <c:crossAx val="542716944"/>
        <c:crosses val="autoZero"/>
        <c:crossBetween val="between"/>
      </c:valAx>
    </c:plotArea>
    <c:legend>
      <c:legendPos val="r"/>
      <c:layout>
        <c:manualLayout>
          <c:xMode val="edge"/>
          <c:yMode val="edge"/>
          <c:x val="0.67019716678473584"/>
          <c:y val="0.36318529272528349"/>
          <c:w val="0.31013638643537433"/>
          <c:h val="0.44527511916319007"/>
        </c:manualLayout>
      </c:layout>
      <c:overlay val="0"/>
    </c:legend>
    <c:plotVisOnly val="1"/>
    <c:dispBlanksAs val="gap"/>
    <c:showDLblsOverMax val="0"/>
  </c:chart>
  <c:spPr>
    <a:ln>
      <a:noFill/>
    </a:ln>
  </c:spPr>
  <c:txPr>
    <a:bodyPr/>
    <a:lstStyle/>
    <a:p>
      <a:pPr>
        <a:defRPr sz="1000" b="0">
          <a:latin typeface="Corbel" panose="020B0503020204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Students Subject to School Disciplinary Action,</a:t>
            </a:r>
          </a:p>
          <a:p>
            <a:pPr>
              <a:defRPr/>
            </a:pPr>
            <a:r>
              <a:rPr lang="en-US"/>
              <a:t>Manor ISD, 2018-2019 School Year</a:t>
            </a:r>
          </a:p>
        </c:rich>
      </c:tx>
      <c:overlay val="0"/>
    </c:title>
    <c:autoTitleDeleted val="0"/>
    <c:plotArea>
      <c:layout/>
      <c:barChart>
        <c:barDir val="col"/>
        <c:grouping val="clustered"/>
        <c:varyColors val="0"/>
        <c:ser>
          <c:idx val="0"/>
          <c:order val="0"/>
          <c:tx>
            <c:strRef>
              <c:f>'Race by District'!$B$11</c:f>
              <c:strCache>
                <c:ptCount val="1"/>
                <c:pt idx="0">
                  <c:v>Asian</c:v>
                </c:pt>
              </c:strCache>
            </c:strRef>
          </c:tx>
          <c:spPr>
            <a:solidFill>
              <a:schemeClr val="accent6"/>
            </a:solidFill>
          </c:spPr>
          <c:invertIfNegative val="0"/>
          <c:cat>
            <c:strRef>
              <c:f>'Race by District'!$BD$10:$BG$10</c:f>
              <c:strCache>
                <c:ptCount val="4"/>
                <c:pt idx="0">
                  <c:v>ISS Percent</c:v>
                </c:pt>
                <c:pt idx="1">
                  <c:v>OSS Percent</c:v>
                </c:pt>
                <c:pt idx="2">
                  <c:v>DAEP Percent</c:v>
                </c:pt>
                <c:pt idx="3">
                  <c:v>JJAEP Percent</c:v>
                </c:pt>
              </c:strCache>
            </c:strRef>
          </c:cat>
          <c:val>
            <c:numRef>
              <c:f>'Race by District'!$BD$11:$BG$11</c:f>
              <c:numCache>
                <c:formatCode>0.00%</c:formatCode>
                <c:ptCount val="4"/>
                <c:pt idx="0">
                  <c:v>2.9343269678621331E-2</c:v>
                </c:pt>
                <c:pt idx="1">
                  <c:v>8.8495575221238937E-3</c:v>
                </c:pt>
                <c:pt idx="3">
                  <c:v>0</c:v>
                </c:pt>
              </c:numCache>
            </c:numRef>
          </c:val>
          <c:extLst>
            <c:ext xmlns:c16="http://schemas.microsoft.com/office/drawing/2014/chart" uri="{C3380CC4-5D6E-409C-BE32-E72D297353CC}">
              <c16:uniqueId val="{00000000-B1D0-4329-B7E7-665417BFC27F}"/>
            </c:ext>
          </c:extLst>
        </c:ser>
        <c:ser>
          <c:idx val="1"/>
          <c:order val="1"/>
          <c:tx>
            <c:strRef>
              <c:f>'Race by District'!$B$12</c:f>
              <c:strCache>
                <c:ptCount val="1"/>
                <c:pt idx="0">
                  <c:v>Black or African American</c:v>
                </c:pt>
              </c:strCache>
            </c:strRef>
          </c:tx>
          <c:spPr>
            <a:solidFill>
              <a:schemeClr val="accent1"/>
            </a:solidFill>
          </c:spPr>
          <c:invertIfNegative val="0"/>
          <c:cat>
            <c:strRef>
              <c:f>'Race by District'!$BD$10:$BG$10</c:f>
              <c:strCache>
                <c:ptCount val="4"/>
                <c:pt idx="0">
                  <c:v>ISS Percent</c:v>
                </c:pt>
                <c:pt idx="1">
                  <c:v>OSS Percent</c:v>
                </c:pt>
                <c:pt idx="2">
                  <c:v>DAEP Percent</c:v>
                </c:pt>
                <c:pt idx="3">
                  <c:v>JJAEP Percent</c:v>
                </c:pt>
              </c:strCache>
            </c:strRef>
          </c:cat>
          <c:val>
            <c:numRef>
              <c:f>'Race by District'!$BD$12:$BG$12</c:f>
              <c:numCache>
                <c:formatCode>0.00%</c:formatCode>
                <c:ptCount val="4"/>
                <c:pt idx="0">
                  <c:v>0.17715617715617715</c:v>
                </c:pt>
                <c:pt idx="1">
                  <c:v>7.7622377622377628E-2</c:v>
                </c:pt>
                <c:pt idx="2">
                  <c:v>2.6340326340326341E-2</c:v>
                </c:pt>
              </c:numCache>
            </c:numRef>
          </c:val>
          <c:extLst>
            <c:ext xmlns:c16="http://schemas.microsoft.com/office/drawing/2014/chart" uri="{C3380CC4-5D6E-409C-BE32-E72D297353CC}">
              <c16:uniqueId val="{00000001-B1D0-4329-B7E7-665417BFC27F}"/>
            </c:ext>
          </c:extLst>
        </c:ser>
        <c:ser>
          <c:idx val="2"/>
          <c:order val="2"/>
          <c:tx>
            <c:strRef>
              <c:f>'Race by District'!$B$13</c:f>
              <c:strCache>
                <c:ptCount val="1"/>
                <c:pt idx="0">
                  <c:v>Hispanic/ Latino</c:v>
                </c:pt>
              </c:strCache>
            </c:strRef>
          </c:tx>
          <c:spPr>
            <a:solidFill>
              <a:schemeClr val="accent2"/>
            </a:solidFill>
          </c:spPr>
          <c:invertIfNegative val="0"/>
          <c:cat>
            <c:strRef>
              <c:f>'Race by District'!$BD$10:$BG$10</c:f>
              <c:strCache>
                <c:ptCount val="4"/>
                <c:pt idx="0">
                  <c:v>ISS Percent</c:v>
                </c:pt>
                <c:pt idx="1">
                  <c:v>OSS Percent</c:v>
                </c:pt>
                <c:pt idx="2">
                  <c:v>DAEP Percent</c:v>
                </c:pt>
                <c:pt idx="3">
                  <c:v>JJAEP Percent</c:v>
                </c:pt>
              </c:strCache>
            </c:strRef>
          </c:cat>
          <c:val>
            <c:numRef>
              <c:f>'Race by District'!$BD$13:$BG$13</c:f>
              <c:numCache>
                <c:formatCode>0.00%</c:formatCode>
                <c:ptCount val="4"/>
                <c:pt idx="0">
                  <c:v>0.10819795995466566</c:v>
                </c:pt>
                <c:pt idx="1">
                  <c:v>4.1027578390630905E-2</c:v>
                </c:pt>
                <c:pt idx="2">
                  <c:v>1.8133736305251228E-2</c:v>
                </c:pt>
              </c:numCache>
            </c:numRef>
          </c:val>
          <c:extLst>
            <c:ext xmlns:c16="http://schemas.microsoft.com/office/drawing/2014/chart" uri="{C3380CC4-5D6E-409C-BE32-E72D297353CC}">
              <c16:uniqueId val="{00000002-B1D0-4329-B7E7-665417BFC27F}"/>
            </c:ext>
          </c:extLst>
        </c:ser>
        <c:ser>
          <c:idx val="3"/>
          <c:order val="3"/>
          <c:tx>
            <c:strRef>
              <c:f>'Race by District'!$B$14</c:f>
              <c:strCache>
                <c:ptCount val="1"/>
                <c:pt idx="0">
                  <c:v>Two or more races</c:v>
                </c:pt>
              </c:strCache>
            </c:strRef>
          </c:tx>
          <c:invertIfNegative val="0"/>
          <c:cat>
            <c:strRef>
              <c:f>'Race by District'!$BD$10:$BG$10</c:f>
              <c:strCache>
                <c:ptCount val="4"/>
                <c:pt idx="0">
                  <c:v>ISS Percent</c:v>
                </c:pt>
                <c:pt idx="1">
                  <c:v>OSS Percent</c:v>
                </c:pt>
                <c:pt idx="2">
                  <c:v>DAEP Percent</c:v>
                </c:pt>
                <c:pt idx="3">
                  <c:v>JJAEP Percent</c:v>
                </c:pt>
              </c:strCache>
            </c:strRef>
          </c:cat>
          <c:val>
            <c:numRef>
              <c:f>'Race by District'!$BD$14:$BG$14</c:f>
              <c:numCache>
                <c:formatCode>0.00%</c:formatCode>
                <c:ptCount val="4"/>
                <c:pt idx="0">
                  <c:v>8.2191780821917804E-2</c:v>
                </c:pt>
                <c:pt idx="1">
                  <c:v>3.7066881547139406E-2</c:v>
                </c:pt>
                <c:pt idx="2">
                  <c:v>1.2892828364222401E-2</c:v>
                </c:pt>
              </c:numCache>
            </c:numRef>
          </c:val>
          <c:extLst>
            <c:ext xmlns:c16="http://schemas.microsoft.com/office/drawing/2014/chart" uri="{C3380CC4-5D6E-409C-BE32-E72D297353CC}">
              <c16:uniqueId val="{00000003-B1D0-4329-B7E7-665417BFC27F}"/>
            </c:ext>
          </c:extLst>
        </c:ser>
        <c:ser>
          <c:idx val="4"/>
          <c:order val="4"/>
          <c:tx>
            <c:strRef>
              <c:f>'Race by District'!$B$15</c:f>
              <c:strCache>
                <c:ptCount val="1"/>
                <c:pt idx="0">
                  <c:v>White</c:v>
                </c:pt>
              </c:strCache>
            </c:strRef>
          </c:tx>
          <c:spPr>
            <a:solidFill>
              <a:schemeClr val="accent3"/>
            </a:solidFill>
          </c:spPr>
          <c:invertIfNegative val="0"/>
          <c:cat>
            <c:strRef>
              <c:f>'Race by District'!$BD$10:$BG$10</c:f>
              <c:strCache>
                <c:ptCount val="4"/>
                <c:pt idx="0">
                  <c:v>ISS Percent</c:v>
                </c:pt>
                <c:pt idx="1">
                  <c:v>OSS Percent</c:v>
                </c:pt>
                <c:pt idx="2">
                  <c:v>DAEP Percent</c:v>
                </c:pt>
                <c:pt idx="3">
                  <c:v>JJAEP Percent</c:v>
                </c:pt>
              </c:strCache>
            </c:strRef>
          </c:cat>
          <c:val>
            <c:numRef>
              <c:f>'Race by District'!$BD$15:$BG$15</c:f>
              <c:numCache>
                <c:formatCode>0.00%</c:formatCode>
                <c:ptCount val="4"/>
                <c:pt idx="0">
                  <c:v>5.9109311740890687E-2</c:v>
                </c:pt>
                <c:pt idx="1">
                  <c:v>2.4777327935222672E-2</c:v>
                </c:pt>
                <c:pt idx="2">
                  <c:v>8.2591093117408906E-3</c:v>
                </c:pt>
              </c:numCache>
            </c:numRef>
          </c:val>
          <c:extLst>
            <c:ext xmlns:c16="http://schemas.microsoft.com/office/drawing/2014/chart" uri="{C3380CC4-5D6E-409C-BE32-E72D297353CC}">
              <c16:uniqueId val="{00000004-B1D0-4329-B7E7-665417BFC27F}"/>
            </c:ext>
          </c:extLst>
        </c:ser>
        <c:ser>
          <c:idx val="5"/>
          <c:order val="5"/>
          <c:tx>
            <c:strRef>
              <c:f>'Race by District'!$B$16</c:f>
              <c:strCache>
                <c:ptCount val="1"/>
                <c:pt idx="0">
                  <c:v>All Students</c:v>
                </c:pt>
              </c:strCache>
            </c:strRef>
          </c:tx>
          <c:spPr>
            <a:solidFill>
              <a:schemeClr val="tx1"/>
            </a:solidFill>
          </c:spPr>
          <c:invertIfNegative val="0"/>
          <c:cat>
            <c:strRef>
              <c:f>'Race by District'!$BD$10:$BG$10</c:f>
              <c:strCache>
                <c:ptCount val="4"/>
                <c:pt idx="0">
                  <c:v>ISS Percent</c:v>
                </c:pt>
                <c:pt idx="1">
                  <c:v>OSS Percent</c:v>
                </c:pt>
                <c:pt idx="2">
                  <c:v>DAEP Percent</c:v>
                </c:pt>
                <c:pt idx="3">
                  <c:v>JJAEP Percent</c:v>
                </c:pt>
              </c:strCache>
            </c:strRef>
          </c:cat>
          <c:val>
            <c:numRef>
              <c:f>'Race by District'!$BD$16:$BG$16</c:f>
              <c:numCache>
                <c:formatCode>0.00%</c:formatCode>
                <c:ptCount val="4"/>
                <c:pt idx="0">
                  <c:v>0.10051101062460939</c:v>
                </c:pt>
                <c:pt idx="1">
                  <c:v>4.0329399654424468E-2</c:v>
                </c:pt>
                <c:pt idx="2">
                  <c:v>1.5771478989743026E-2</c:v>
                </c:pt>
              </c:numCache>
            </c:numRef>
          </c:val>
          <c:extLst>
            <c:ext xmlns:c16="http://schemas.microsoft.com/office/drawing/2014/chart" uri="{C3380CC4-5D6E-409C-BE32-E72D297353CC}">
              <c16:uniqueId val="{00000005-B1D0-4329-B7E7-665417BFC27F}"/>
            </c:ext>
          </c:extLst>
        </c:ser>
        <c:dLbls>
          <c:showLegendKey val="0"/>
          <c:showVal val="0"/>
          <c:showCatName val="0"/>
          <c:showSerName val="0"/>
          <c:showPercent val="0"/>
          <c:showBubbleSize val="0"/>
        </c:dLbls>
        <c:gapWidth val="150"/>
        <c:axId val="542022544"/>
        <c:axId val="1"/>
      </c:barChart>
      <c:catAx>
        <c:axId val="54202254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0.30000000000000004"/>
        </c:scaling>
        <c:delete val="0"/>
        <c:axPos val="l"/>
        <c:majorGridlines/>
        <c:numFmt formatCode="0.00%" sourceLinked="1"/>
        <c:majorTickMark val="out"/>
        <c:minorTickMark val="none"/>
        <c:tickLblPos val="nextTo"/>
        <c:crossAx val="542022544"/>
        <c:crosses val="autoZero"/>
        <c:crossBetween val="between"/>
      </c:valAx>
    </c:plotArea>
    <c:legend>
      <c:legendPos val="r"/>
      <c:layout>
        <c:manualLayout>
          <c:xMode val="edge"/>
          <c:yMode val="edge"/>
          <c:x val="0.67019716678473584"/>
          <c:y val="0.36318529272528349"/>
          <c:w val="0.31013638643537433"/>
          <c:h val="0.44527511916319007"/>
        </c:manualLayout>
      </c:layout>
      <c:overlay val="0"/>
    </c:legend>
    <c:plotVisOnly val="1"/>
    <c:dispBlanksAs val="gap"/>
    <c:showDLblsOverMax val="0"/>
  </c:chart>
  <c:spPr>
    <a:ln>
      <a:noFill/>
    </a:ln>
  </c:spPr>
  <c:txPr>
    <a:bodyPr/>
    <a:lstStyle/>
    <a:p>
      <a:pPr>
        <a:defRPr sz="1000" b="0">
          <a:latin typeface="Corbel" panose="020B0503020204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Disproprtionality Ratio,</a:t>
            </a:r>
          </a:p>
          <a:p>
            <a:pPr>
              <a:defRPr b="0"/>
            </a:pPr>
            <a:r>
              <a:rPr lang="en-US" b="0"/>
              <a:t>Del Valle ISD, 2018-2019 School Year</a:t>
            </a:r>
          </a:p>
        </c:rich>
      </c:tx>
      <c:overlay val="0"/>
    </c:title>
    <c:autoTitleDeleted val="0"/>
    <c:plotArea>
      <c:layout/>
      <c:barChart>
        <c:barDir val="col"/>
        <c:grouping val="clustered"/>
        <c:varyColors val="0"/>
        <c:ser>
          <c:idx val="0"/>
          <c:order val="0"/>
          <c:tx>
            <c:strRef>
              <c:f>'Race by District'!$B$85</c:f>
              <c:strCache>
                <c:ptCount val="1"/>
                <c:pt idx="0">
                  <c:v>Asian</c:v>
                </c:pt>
              </c:strCache>
            </c:strRef>
          </c:tx>
          <c:spPr>
            <a:solidFill>
              <a:schemeClr val="accent6"/>
            </a:solidFill>
          </c:spPr>
          <c:invertIfNegative val="0"/>
          <c:cat>
            <c:strRef>
              <c:f>'Race by District'!$J$84:$L$84</c:f>
              <c:strCache>
                <c:ptCount val="3"/>
                <c:pt idx="0">
                  <c:v>ISS</c:v>
                </c:pt>
                <c:pt idx="1">
                  <c:v>OSS</c:v>
                </c:pt>
                <c:pt idx="2">
                  <c:v>DAEP</c:v>
                </c:pt>
              </c:strCache>
            </c:strRef>
          </c:cat>
          <c:val>
            <c:numRef>
              <c:f>'Race by District'!$J$85:$L$85</c:f>
              <c:numCache>
                <c:formatCode>_(* #,##0.00_);_(* \(#,##0.00\);_(* "-"??_);_(@_)</c:formatCode>
                <c:ptCount val="3"/>
                <c:pt idx="0">
                  <c:v>0</c:v>
                </c:pt>
                <c:pt idx="1">
                  <c:v>0</c:v>
                </c:pt>
                <c:pt idx="2">
                  <c:v>0</c:v>
                </c:pt>
              </c:numCache>
            </c:numRef>
          </c:val>
          <c:extLst>
            <c:ext xmlns:c16="http://schemas.microsoft.com/office/drawing/2014/chart" uri="{C3380CC4-5D6E-409C-BE32-E72D297353CC}">
              <c16:uniqueId val="{00000000-487E-48E6-94BB-8002EFD2DCD3}"/>
            </c:ext>
          </c:extLst>
        </c:ser>
        <c:ser>
          <c:idx val="1"/>
          <c:order val="1"/>
          <c:tx>
            <c:strRef>
              <c:f>'Race by District'!$B$86</c:f>
              <c:strCache>
                <c:ptCount val="1"/>
                <c:pt idx="0">
                  <c:v>Black or African American</c:v>
                </c:pt>
              </c:strCache>
            </c:strRef>
          </c:tx>
          <c:spPr>
            <a:solidFill>
              <a:schemeClr val="accent1"/>
            </a:solidFill>
          </c:spPr>
          <c:invertIfNegative val="0"/>
          <c:cat>
            <c:strRef>
              <c:f>'Race by District'!$J$84:$L$84</c:f>
              <c:strCache>
                <c:ptCount val="3"/>
                <c:pt idx="0">
                  <c:v>ISS</c:v>
                </c:pt>
                <c:pt idx="1">
                  <c:v>OSS</c:v>
                </c:pt>
                <c:pt idx="2">
                  <c:v>DAEP</c:v>
                </c:pt>
              </c:strCache>
            </c:strRef>
          </c:cat>
          <c:val>
            <c:numRef>
              <c:f>'Race by District'!$J$86:$L$86</c:f>
              <c:numCache>
                <c:formatCode>_(* #,##0.00_);_(* \(#,##0.00\);_(* "-"??_);_(@_)</c:formatCode>
                <c:ptCount val="3"/>
                <c:pt idx="0">
                  <c:v>1.6380181628373198</c:v>
                </c:pt>
                <c:pt idx="1">
                  <c:v>1.7176311282806962</c:v>
                </c:pt>
                <c:pt idx="2">
                  <c:v>1.1819799503162496</c:v>
                </c:pt>
              </c:numCache>
            </c:numRef>
          </c:val>
          <c:extLst>
            <c:ext xmlns:c16="http://schemas.microsoft.com/office/drawing/2014/chart" uri="{C3380CC4-5D6E-409C-BE32-E72D297353CC}">
              <c16:uniqueId val="{00000001-487E-48E6-94BB-8002EFD2DCD3}"/>
            </c:ext>
          </c:extLst>
        </c:ser>
        <c:ser>
          <c:idx val="2"/>
          <c:order val="2"/>
          <c:tx>
            <c:strRef>
              <c:f>'Race by District'!$B$87</c:f>
              <c:strCache>
                <c:ptCount val="1"/>
                <c:pt idx="0">
                  <c:v>Hispanic/ Latino</c:v>
                </c:pt>
              </c:strCache>
            </c:strRef>
          </c:tx>
          <c:spPr>
            <a:solidFill>
              <a:schemeClr val="accent2"/>
            </a:solidFill>
          </c:spPr>
          <c:invertIfNegative val="0"/>
          <c:cat>
            <c:strRef>
              <c:f>'Race by District'!$J$84:$L$84</c:f>
              <c:strCache>
                <c:ptCount val="3"/>
                <c:pt idx="0">
                  <c:v>ISS</c:v>
                </c:pt>
                <c:pt idx="1">
                  <c:v>OSS</c:v>
                </c:pt>
                <c:pt idx="2">
                  <c:v>DAEP</c:v>
                </c:pt>
              </c:strCache>
            </c:strRef>
          </c:cat>
          <c:val>
            <c:numRef>
              <c:f>'Race by District'!$J$87:$L$87</c:f>
              <c:numCache>
                <c:formatCode>_(* #,##0.00_);_(* \(#,##0.00\);_(* "-"??_);_(@_)</c:formatCode>
                <c:ptCount val="3"/>
                <c:pt idx="0">
                  <c:v>0.95060719251773607</c:v>
                </c:pt>
                <c:pt idx="1">
                  <c:v>0.95204955065417207</c:v>
                </c:pt>
                <c:pt idx="2">
                  <c:v>1.0000511157013094</c:v>
                </c:pt>
              </c:numCache>
            </c:numRef>
          </c:val>
          <c:extLst>
            <c:ext xmlns:c16="http://schemas.microsoft.com/office/drawing/2014/chart" uri="{C3380CC4-5D6E-409C-BE32-E72D297353CC}">
              <c16:uniqueId val="{00000002-487E-48E6-94BB-8002EFD2DCD3}"/>
            </c:ext>
          </c:extLst>
        </c:ser>
        <c:ser>
          <c:idx val="3"/>
          <c:order val="3"/>
          <c:tx>
            <c:strRef>
              <c:f>'Race by District'!$B$88</c:f>
              <c:strCache>
                <c:ptCount val="1"/>
                <c:pt idx="0">
                  <c:v>Two or more races</c:v>
                </c:pt>
              </c:strCache>
            </c:strRef>
          </c:tx>
          <c:spPr>
            <a:solidFill>
              <a:schemeClr val="accent4"/>
            </a:solidFill>
          </c:spPr>
          <c:invertIfNegative val="0"/>
          <c:cat>
            <c:strRef>
              <c:f>'Race by District'!$J$84:$L$84</c:f>
              <c:strCache>
                <c:ptCount val="3"/>
                <c:pt idx="0">
                  <c:v>ISS</c:v>
                </c:pt>
                <c:pt idx="1">
                  <c:v>OSS</c:v>
                </c:pt>
                <c:pt idx="2">
                  <c:v>DAEP</c:v>
                </c:pt>
              </c:strCache>
            </c:strRef>
          </c:cat>
          <c:val>
            <c:numRef>
              <c:f>'Race by District'!$J$88:$L$88</c:f>
              <c:numCache>
                <c:formatCode>_(* #,##0.00_);_(* \(#,##0.00\);_(* "-"??_);_(@_)</c:formatCode>
                <c:ptCount val="3"/>
                <c:pt idx="0">
                  <c:v>0</c:v>
                </c:pt>
                <c:pt idx="1">
                  <c:v>0</c:v>
                </c:pt>
                <c:pt idx="2">
                  <c:v>0</c:v>
                </c:pt>
              </c:numCache>
            </c:numRef>
          </c:val>
          <c:extLst>
            <c:ext xmlns:c16="http://schemas.microsoft.com/office/drawing/2014/chart" uri="{C3380CC4-5D6E-409C-BE32-E72D297353CC}">
              <c16:uniqueId val="{00000003-487E-48E6-94BB-8002EFD2DCD3}"/>
            </c:ext>
          </c:extLst>
        </c:ser>
        <c:ser>
          <c:idx val="4"/>
          <c:order val="4"/>
          <c:tx>
            <c:strRef>
              <c:f>'Race by District'!$B$89</c:f>
              <c:strCache>
                <c:ptCount val="1"/>
                <c:pt idx="0">
                  <c:v>White</c:v>
                </c:pt>
              </c:strCache>
            </c:strRef>
          </c:tx>
          <c:spPr>
            <a:solidFill>
              <a:schemeClr val="accent3"/>
            </a:solidFill>
          </c:spPr>
          <c:invertIfNegative val="0"/>
          <c:cat>
            <c:strRef>
              <c:f>'Race by District'!$J$84:$L$84</c:f>
              <c:strCache>
                <c:ptCount val="3"/>
                <c:pt idx="0">
                  <c:v>ISS</c:v>
                </c:pt>
                <c:pt idx="1">
                  <c:v>OSS</c:v>
                </c:pt>
                <c:pt idx="2">
                  <c:v>DAEP</c:v>
                </c:pt>
              </c:strCache>
            </c:strRef>
          </c:cat>
          <c:val>
            <c:numRef>
              <c:f>'Race by District'!$J$89:$L$89</c:f>
              <c:numCache>
                <c:formatCode>_(* #,##0.00_);_(* \(#,##0.00\);_(* "-"??_);_(@_)</c:formatCode>
                <c:ptCount val="3"/>
                <c:pt idx="0">
                  <c:v>0.76674383477977825</c:v>
                </c:pt>
                <c:pt idx="1">
                  <c:v>0.6421870812114715</c:v>
                </c:pt>
                <c:pt idx="2">
                  <c:v>0</c:v>
                </c:pt>
              </c:numCache>
            </c:numRef>
          </c:val>
          <c:extLst>
            <c:ext xmlns:c16="http://schemas.microsoft.com/office/drawing/2014/chart" uri="{C3380CC4-5D6E-409C-BE32-E72D297353CC}">
              <c16:uniqueId val="{00000004-487E-48E6-94BB-8002EFD2DCD3}"/>
            </c:ext>
          </c:extLst>
        </c:ser>
        <c:dLbls>
          <c:showLegendKey val="0"/>
          <c:showVal val="0"/>
          <c:showCatName val="0"/>
          <c:showSerName val="0"/>
          <c:showPercent val="0"/>
          <c:showBubbleSize val="0"/>
        </c:dLbls>
        <c:gapWidth val="150"/>
        <c:axId val="542028304"/>
        <c:axId val="1"/>
      </c:barChart>
      <c:catAx>
        <c:axId val="54202830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3"/>
        </c:scaling>
        <c:delete val="0"/>
        <c:axPos val="l"/>
        <c:majorGridlines/>
        <c:numFmt formatCode="_(* #,##0.00_);_(* \(#,##0.00\);_(* &quot;-&quot;??_);_(@_)" sourceLinked="1"/>
        <c:majorTickMark val="out"/>
        <c:minorTickMark val="none"/>
        <c:tickLblPos val="nextTo"/>
        <c:crossAx val="542028304"/>
        <c:crosses val="autoZero"/>
        <c:crossBetween val="between"/>
        <c:majorUnit val="0.5"/>
      </c:valAx>
    </c:plotArea>
    <c:legend>
      <c:legendPos val="r"/>
      <c:layout>
        <c:manualLayout>
          <c:xMode val="edge"/>
          <c:yMode val="edge"/>
          <c:x val="0.64715472845001609"/>
          <c:y val="0.39678452992748081"/>
          <c:w val="0.33333346565892791"/>
          <c:h val="0.39946550648104484"/>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Disproprtionality Ratio,</a:t>
            </a:r>
          </a:p>
          <a:p>
            <a:pPr>
              <a:defRPr b="0"/>
            </a:pPr>
            <a:r>
              <a:rPr lang="en-US" b="0"/>
              <a:t>Manor ISD, 2018-2019 School Year</a:t>
            </a:r>
          </a:p>
        </c:rich>
      </c:tx>
      <c:overlay val="0"/>
    </c:title>
    <c:autoTitleDeleted val="0"/>
    <c:plotArea>
      <c:layout/>
      <c:barChart>
        <c:barDir val="col"/>
        <c:grouping val="clustered"/>
        <c:varyColors val="0"/>
        <c:ser>
          <c:idx val="0"/>
          <c:order val="0"/>
          <c:tx>
            <c:strRef>
              <c:f>'Race by District'!$B$85</c:f>
              <c:strCache>
                <c:ptCount val="1"/>
                <c:pt idx="0">
                  <c:v>Asian</c:v>
                </c:pt>
              </c:strCache>
            </c:strRef>
          </c:tx>
          <c:spPr>
            <a:solidFill>
              <a:schemeClr val="accent6"/>
            </a:solidFill>
          </c:spPr>
          <c:invertIfNegative val="0"/>
          <c:cat>
            <c:strRef>
              <c:f>'Race by District'!$AW$84:$AY$84</c:f>
              <c:strCache>
                <c:ptCount val="3"/>
                <c:pt idx="0">
                  <c:v>ISS</c:v>
                </c:pt>
                <c:pt idx="1">
                  <c:v>OSS</c:v>
                </c:pt>
                <c:pt idx="2">
                  <c:v>DAEP</c:v>
                </c:pt>
              </c:strCache>
            </c:strRef>
          </c:cat>
          <c:val>
            <c:numRef>
              <c:f>'Race by District'!$AW$85:$AY$85</c:f>
              <c:numCache>
                <c:formatCode>_(* #,##0.00_);_(* \(#,##0.00\);_(* "-"??_);_(@_)</c:formatCode>
                <c:ptCount val="3"/>
                <c:pt idx="0">
                  <c:v>0</c:v>
                </c:pt>
                <c:pt idx="1">
                  <c:v>0</c:v>
                </c:pt>
                <c:pt idx="2">
                  <c:v>0</c:v>
                </c:pt>
              </c:numCache>
            </c:numRef>
          </c:val>
          <c:extLst>
            <c:ext xmlns:c16="http://schemas.microsoft.com/office/drawing/2014/chart" uri="{C3380CC4-5D6E-409C-BE32-E72D297353CC}">
              <c16:uniqueId val="{00000000-D182-4B7B-A1EE-EC190516CE7F}"/>
            </c:ext>
          </c:extLst>
        </c:ser>
        <c:ser>
          <c:idx val="1"/>
          <c:order val="1"/>
          <c:tx>
            <c:strRef>
              <c:f>'Race by District'!$B$86</c:f>
              <c:strCache>
                <c:ptCount val="1"/>
                <c:pt idx="0">
                  <c:v>Black or African American</c:v>
                </c:pt>
              </c:strCache>
            </c:strRef>
          </c:tx>
          <c:spPr>
            <a:solidFill>
              <a:schemeClr val="accent1"/>
            </a:solidFill>
          </c:spPr>
          <c:invertIfNegative val="0"/>
          <c:cat>
            <c:strRef>
              <c:f>'Race by District'!$AW$84:$AY$84</c:f>
              <c:strCache>
                <c:ptCount val="3"/>
                <c:pt idx="0">
                  <c:v>ISS</c:v>
                </c:pt>
                <c:pt idx="1">
                  <c:v>OSS</c:v>
                </c:pt>
                <c:pt idx="2">
                  <c:v>DAEP</c:v>
                </c:pt>
              </c:strCache>
            </c:strRef>
          </c:cat>
          <c:val>
            <c:numRef>
              <c:f>'Race by District'!$AW$86:$AY$86</c:f>
              <c:numCache>
                <c:formatCode>_(* #,##0.00_);_(* \(#,##0.00\);_(* "-"??_);_(@_)</c:formatCode>
                <c:ptCount val="3"/>
                <c:pt idx="0">
                  <c:v>1.3617752652700632</c:v>
                </c:pt>
                <c:pt idx="1">
                  <c:v>1.7442018635652587</c:v>
                </c:pt>
                <c:pt idx="2">
                  <c:v>1.8079233716475096</c:v>
                </c:pt>
              </c:numCache>
            </c:numRef>
          </c:val>
          <c:extLst>
            <c:ext xmlns:c16="http://schemas.microsoft.com/office/drawing/2014/chart" uri="{C3380CC4-5D6E-409C-BE32-E72D297353CC}">
              <c16:uniqueId val="{00000001-D182-4B7B-A1EE-EC190516CE7F}"/>
            </c:ext>
          </c:extLst>
        </c:ser>
        <c:ser>
          <c:idx val="2"/>
          <c:order val="2"/>
          <c:tx>
            <c:strRef>
              <c:f>'Race by District'!$B$87</c:f>
              <c:strCache>
                <c:ptCount val="1"/>
                <c:pt idx="0">
                  <c:v>Hispanic/ Latino</c:v>
                </c:pt>
              </c:strCache>
            </c:strRef>
          </c:tx>
          <c:spPr>
            <a:solidFill>
              <a:schemeClr val="accent2"/>
            </a:solidFill>
          </c:spPr>
          <c:invertIfNegative val="0"/>
          <c:cat>
            <c:strRef>
              <c:f>'Race by District'!$AW$84:$AY$84</c:f>
              <c:strCache>
                <c:ptCount val="3"/>
                <c:pt idx="0">
                  <c:v>ISS</c:v>
                </c:pt>
                <c:pt idx="1">
                  <c:v>OSS</c:v>
                </c:pt>
                <c:pt idx="2">
                  <c:v>DAEP</c:v>
                </c:pt>
              </c:strCache>
            </c:strRef>
          </c:cat>
          <c:val>
            <c:numRef>
              <c:f>'Race by District'!$AW$87:$AY$87</c:f>
              <c:numCache>
                <c:formatCode>_(* #,##0.00_);_(* \(#,##0.00\);_(* "-"??_);_(@_)</c:formatCode>
                <c:ptCount val="3"/>
                <c:pt idx="0">
                  <c:v>0.92804542177511262</c:v>
                </c:pt>
                <c:pt idx="1">
                  <c:v>0.82245685718107886</c:v>
                </c:pt>
                <c:pt idx="2">
                  <c:v>0.7986465039676599</c:v>
                </c:pt>
              </c:numCache>
            </c:numRef>
          </c:val>
          <c:extLst>
            <c:ext xmlns:c16="http://schemas.microsoft.com/office/drawing/2014/chart" uri="{C3380CC4-5D6E-409C-BE32-E72D297353CC}">
              <c16:uniqueId val="{00000002-D182-4B7B-A1EE-EC190516CE7F}"/>
            </c:ext>
          </c:extLst>
        </c:ser>
        <c:ser>
          <c:idx val="3"/>
          <c:order val="3"/>
          <c:tx>
            <c:strRef>
              <c:f>'Race by District'!$B$88</c:f>
              <c:strCache>
                <c:ptCount val="1"/>
                <c:pt idx="0">
                  <c:v>Two or more races</c:v>
                </c:pt>
              </c:strCache>
            </c:strRef>
          </c:tx>
          <c:spPr>
            <a:solidFill>
              <a:schemeClr val="accent4"/>
            </a:solidFill>
          </c:spPr>
          <c:invertIfNegative val="0"/>
          <c:cat>
            <c:strRef>
              <c:f>'Race by District'!$AW$84:$AY$84</c:f>
              <c:strCache>
                <c:ptCount val="3"/>
                <c:pt idx="0">
                  <c:v>ISS</c:v>
                </c:pt>
                <c:pt idx="1">
                  <c:v>OSS</c:v>
                </c:pt>
                <c:pt idx="2">
                  <c:v>DAEP</c:v>
                </c:pt>
              </c:strCache>
            </c:strRef>
          </c:cat>
          <c:val>
            <c:numRef>
              <c:f>'Race by District'!$AW$88:$AY$88</c:f>
              <c:numCache>
                <c:formatCode>_(* #,##0.00_);_(* \(#,##0.00\);_(* "-"??_);_(@_)</c:formatCode>
                <c:ptCount val="3"/>
                <c:pt idx="0">
                  <c:v>1.1296392653710723</c:v>
                </c:pt>
                <c:pt idx="1">
                  <c:v>1.0218556372402525</c:v>
                </c:pt>
                <c:pt idx="2">
                  <c:v>0</c:v>
                </c:pt>
              </c:numCache>
            </c:numRef>
          </c:val>
          <c:extLst>
            <c:ext xmlns:c16="http://schemas.microsoft.com/office/drawing/2014/chart" uri="{C3380CC4-5D6E-409C-BE32-E72D297353CC}">
              <c16:uniqueId val="{00000003-D182-4B7B-A1EE-EC190516CE7F}"/>
            </c:ext>
          </c:extLst>
        </c:ser>
        <c:ser>
          <c:idx val="4"/>
          <c:order val="4"/>
          <c:tx>
            <c:strRef>
              <c:f>'Race by District'!$B$89</c:f>
              <c:strCache>
                <c:ptCount val="1"/>
                <c:pt idx="0">
                  <c:v>White</c:v>
                </c:pt>
              </c:strCache>
            </c:strRef>
          </c:tx>
          <c:spPr>
            <a:solidFill>
              <a:schemeClr val="accent3"/>
            </a:solidFill>
          </c:spPr>
          <c:invertIfNegative val="0"/>
          <c:cat>
            <c:strRef>
              <c:f>'Race by District'!$AW$84:$AY$84</c:f>
              <c:strCache>
                <c:ptCount val="3"/>
                <c:pt idx="0">
                  <c:v>ISS</c:v>
                </c:pt>
                <c:pt idx="1">
                  <c:v>OSS</c:v>
                </c:pt>
                <c:pt idx="2">
                  <c:v>DAEP</c:v>
                </c:pt>
              </c:strCache>
            </c:strRef>
          </c:cat>
          <c:val>
            <c:numRef>
              <c:f>'Race by District'!$AW$89:$AY$89</c:f>
              <c:numCache>
                <c:formatCode>_(* #,##0.00_);_(* \(#,##0.00\);_(* "-"??_);_(@_)</c:formatCode>
                <c:ptCount val="3"/>
                <c:pt idx="0">
                  <c:v>0.96197663342633877</c:v>
                </c:pt>
                <c:pt idx="1">
                  <c:v>0.89952266211187704</c:v>
                </c:pt>
                <c:pt idx="2">
                  <c:v>0</c:v>
                </c:pt>
              </c:numCache>
            </c:numRef>
          </c:val>
          <c:extLst>
            <c:ext xmlns:c16="http://schemas.microsoft.com/office/drawing/2014/chart" uri="{C3380CC4-5D6E-409C-BE32-E72D297353CC}">
              <c16:uniqueId val="{00000004-D182-4B7B-A1EE-EC190516CE7F}"/>
            </c:ext>
          </c:extLst>
        </c:ser>
        <c:dLbls>
          <c:showLegendKey val="0"/>
          <c:showVal val="0"/>
          <c:showCatName val="0"/>
          <c:showSerName val="0"/>
          <c:showPercent val="0"/>
          <c:showBubbleSize val="0"/>
        </c:dLbls>
        <c:gapWidth val="150"/>
        <c:axId val="542026064"/>
        <c:axId val="1"/>
      </c:barChart>
      <c:catAx>
        <c:axId val="54202606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3"/>
        </c:scaling>
        <c:delete val="0"/>
        <c:axPos val="l"/>
        <c:majorGridlines/>
        <c:numFmt formatCode="_(* #,##0.00_);_(* \(#,##0.00\);_(* &quot;-&quot;??_);_(@_)" sourceLinked="1"/>
        <c:majorTickMark val="out"/>
        <c:minorTickMark val="none"/>
        <c:tickLblPos val="nextTo"/>
        <c:crossAx val="542026064"/>
        <c:crosses val="autoZero"/>
        <c:crossBetween val="between"/>
        <c:majorUnit val="0.5"/>
      </c:valAx>
    </c:plotArea>
    <c:legend>
      <c:legendPos val="r"/>
      <c:layout>
        <c:manualLayout>
          <c:xMode val="edge"/>
          <c:yMode val="edge"/>
          <c:x val="0.64715472845001609"/>
          <c:y val="0.39678452992748081"/>
          <c:w val="0.33333346565892791"/>
          <c:h val="0.39946550648104484"/>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Disproprtionality Ratio,</a:t>
            </a:r>
          </a:p>
          <a:p>
            <a:pPr>
              <a:defRPr b="0"/>
            </a:pPr>
            <a:r>
              <a:rPr lang="en-US" b="0"/>
              <a:t>Pflugerville ISD, 2018-2019 School Year</a:t>
            </a:r>
          </a:p>
        </c:rich>
      </c:tx>
      <c:overlay val="0"/>
    </c:title>
    <c:autoTitleDeleted val="0"/>
    <c:plotArea>
      <c:layout/>
      <c:barChart>
        <c:barDir val="col"/>
        <c:grouping val="clustered"/>
        <c:varyColors val="0"/>
        <c:ser>
          <c:idx val="0"/>
          <c:order val="0"/>
          <c:tx>
            <c:strRef>
              <c:f>'Race by District'!$B$85</c:f>
              <c:strCache>
                <c:ptCount val="1"/>
                <c:pt idx="0">
                  <c:v>Asian</c:v>
                </c:pt>
              </c:strCache>
            </c:strRef>
          </c:tx>
          <c:spPr>
            <a:solidFill>
              <a:schemeClr val="accent6"/>
            </a:solidFill>
          </c:spPr>
          <c:invertIfNegative val="0"/>
          <c:cat>
            <c:strRef>
              <c:f>'Race by District'!$BD$84:$BF$84</c:f>
              <c:strCache>
                <c:ptCount val="3"/>
                <c:pt idx="0">
                  <c:v>ISS</c:v>
                </c:pt>
                <c:pt idx="1">
                  <c:v>OSS</c:v>
                </c:pt>
                <c:pt idx="2">
                  <c:v>DAEP</c:v>
                </c:pt>
              </c:strCache>
            </c:strRef>
          </c:cat>
          <c:val>
            <c:numRef>
              <c:f>'Race by District'!$BD$85:$BF$85</c:f>
              <c:numCache>
                <c:formatCode>_(* #,##0.00_);_(* \(#,##0.00\);_(* "-"??_);_(@_)</c:formatCode>
                <c:ptCount val="3"/>
                <c:pt idx="0">
                  <c:v>0.29194084803517883</c:v>
                </c:pt>
                <c:pt idx="1">
                  <c:v>0.21943191810327442</c:v>
                </c:pt>
                <c:pt idx="2">
                  <c:v>0</c:v>
                </c:pt>
              </c:numCache>
            </c:numRef>
          </c:val>
          <c:extLst>
            <c:ext xmlns:c16="http://schemas.microsoft.com/office/drawing/2014/chart" uri="{C3380CC4-5D6E-409C-BE32-E72D297353CC}">
              <c16:uniqueId val="{00000000-1C4A-4DC9-B3DE-1DC2C0156514}"/>
            </c:ext>
          </c:extLst>
        </c:ser>
        <c:ser>
          <c:idx val="1"/>
          <c:order val="1"/>
          <c:tx>
            <c:strRef>
              <c:f>'Race by District'!$B$86</c:f>
              <c:strCache>
                <c:ptCount val="1"/>
                <c:pt idx="0">
                  <c:v>Black or African American</c:v>
                </c:pt>
              </c:strCache>
            </c:strRef>
          </c:tx>
          <c:spPr>
            <a:solidFill>
              <a:schemeClr val="accent1"/>
            </a:solidFill>
          </c:spPr>
          <c:invertIfNegative val="0"/>
          <c:cat>
            <c:strRef>
              <c:f>'Race by District'!$BD$84:$BF$84</c:f>
              <c:strCache>
                <c:ptCount val="3"/>
                <c:pt idx="0">
                  <c:v>ISS</c:v>
                </c:pt>
                <c:pt idx="1">
                  <c:v>OSS</c:v>
                </c:pt>
                <c:pt idx="2">
                  <c:v>DAEP</c:v>
                </c:pt>
              </c:strCache>
            </c:strRef>
          </c:cat>
          <c:val>
            <c:numRef>
              <c:f>'Race by District'!$BD$86:$BF$86</c:f>
              <c:numCache>
                <c:formatCode>_(* #,##0.00_);_(* \(#,##0.00\);_(* "-"??_);_(@_)</c:formatCode>
                <c:ptCount val="3"/>
                <c:pt idx="0">
                  <c:v>1.7625549286119879</c:v>
                </c:pt>
                <c:pt idx="1">
                  <c:v>1.9247094746638957</c:v>
                </c:pt>
                <c:pt idx="2">
                  <c:v>1.6701240484457269</c:v>
                </c:pt>
              </c:numCache>
            </c:numRef>
          </c:val>
          <c:extLst>
            <c:ext xmlns:c16="http://schemas.microsoft.com/office/drawing/2014/chart" uri="{C3380CC4-5D6E-409C-BE32-E72D297353CC}">
              <c16:uniqueId val="{00000001-1C4A-4DC9-B3DE-1DC2C0156514}"/>
            </c:ext>
          </c:extLst>
        </c:ser>
        <c:ser>
          <c:idx val="2"/>
          <c:order val="2"/>
          <c:tx>
            <c:strRef>
              <c:f>'Race by District'!$B$87</c:f>
              <c:strCache>
                <c:ptCount val="1"/>
                <c:pt idx="0">
                  <c:v>Hispanic/ Latino</c:v>
                </c:pt>
              </c:strCache>
            </c:strRef>
          </c:tx>
          <c:spPr>
            <a:solidFill>
              <a:schemeClr val="accent2"/>
            </a:solidFill>
          </c:spPr>
          <c:invertIfNegative val="0"/>
          <c:cat>
            <c:strRef>
              <c:f>'Race by District'!$BD$84:$BF$84</c:f>
              <c:strCache>
                <c:ptCount val="3"/>
                <c:pt idx="0">
                  <c:v>ISS</c:v>
                </c:pt>
                <c:pt idx="1">
                  <c:v>OSS</c:v>
                </c:pt>
                <c:pt idx="2">
                  <c:v>DAEP</c:v>
                </c:pt>
              </c:strCache>
            </c:strRef>
          </c:cat>
          <c:val>
            <c:numRef>
              <c:f>'Race by District'!$BD$87:$BF$87</c:f>
              <c:numCache>
                <c:formatCode>_(* #,##0.00_);_(* \(#,##0.00\);_(* "-"??_);_(@_)</c:formatCode>
                <c:ptCount val="3"/>
                <c:pt idx="0">
                  <c:v>1.0764786791246745</c:v>
                </c:pt>
                <c:pt idx="1">
                  <c:v>1.0173119050169108</c:v>
                </c:pt>
                <c:pt idx="2">
                  <c:v>1.1497803292287616</c:v>
                </c:pt>
              </c:numCache>
            </c:numRef>
          </c:val>
          <c:extLst>
            <c:ext xmlns:c16="http://schemas.microsoft.com/office/drawing/2014/chart" uri="{C3380CC4-5D6E-409C-BE32-E72D297353CC}">
              <c16:uniqueId val="{00000002-1C4A-4DC9-B3DE-1DC2C0156514}"/>
            </c:ext>
          </c:extLst>
        </c:ser>
        <c:ser>
          <c:idx val="3"/>
          <c:order val="3"/>
          <c:tx>
            <c:strRef>
              <c:f>'Race by District'!$B$88</c:f>
              <c:strCache>
                <c:ptCount val="1"/>
                <c:pt idx="0">
                  <c:v>Two or more races</c:v>
                </c:pt>
              </c:strCache>
            </c:strRef>
          </c:tx>
          <c:spPr>
            <a:solidFill>
              <a:schemeClr val="accent4"/>
            </a:solidFill>
          </c:spPr>
          <c:invertIfNegative val="0"/>
          <c:cat>
            <c:strRef>
              <c:f>'Race by District'!$BD$84:$BF$84</c:f>
              <c:strCache>
                <c:ptCount val="3"/>
                <c:pt idx="0">
                  <c:v>ISS</c:v>
                </c:pt>
                <c:pt idx="1">
                  <c:v>OSS</c:v>
                </c:pt>
                <c:pt idx="2">
                  <c:v>DAEP</c:v>
                </c:pt>
              </c:strCache>
            </c:strRef>
          </c:cat>
          <c:val>
            <c:numRef>
              <c:f>'Race by District'!$BD$88:$BF$88</c:f>
              <c:numCache>
                <c:formatCode>_(* #,##0.00_);_(* \(#,##0.00\);_(* "-"??_);_(@_)</c:formatCode>
                <c:ptCount val="3"/>
                <c:pt idx="0">
                  <c:v>0.81773907466605211</c:v>
                </c:pt>
                <c:pt idx="1">
                  <c:v>0.91910323150751039</c:v>
                </c:pt>
                <c:pt idx="2">
                  <c:v>0.81747744600282868</c:v>
                </c:pt>
              </c:numCache>
            </c:numRef>
          </c:val>
          <c:extLst>
            <c:ext xmlns:c16="http://schemas.microsoft.com/office/drawing/2014/chart" uri="{C3380CC4-5D6E-409C-BE32-E72D297353CC}">
              <c16:uniqueId val="{00000003-1C4A-4DC9-B3DE-1DC2C0156514}"/>
            </c:ext>
          </c:extLst>
        </c:ser>
        <c:ser>
          <c:idx val="4"/>
          <c:order val="4"/>
          <c:tx>
            <c:strRef>
              <c:f>'Race by District'!$B$89</c:f>
              <c:strCache>
                <c:ptCount val="1"/>
                <c:pt idx="0">
                  <c:v>White</c:v>
                </c:pt>
              </c:strCache>
            </c:strRef>
          </c:tx>
          <c:spPr>
            <a:solidFill>
              <a:schemeClr val="accent3"/>
            </a:solidFill>
          </c:spPr>
          <c:invertIfNegative val="0"/>
          <c:cat>
            <c:strRef>
              <c:f>'Race by District'!$BD$84:$BF$84</c:f>
              <c:strCache>
                <c:ptCount val="3"/>
                <c:pt idx="0">
                  <c:v>ISS</c:v>
                </c:pt>
                <c:pt idx="1">
                  <c:v>OSS</c:v>
                </c:pt>
                <c:pt idx="2">
                  <c:v>DAEP</c:v>
                </c:pt>
              </c:strCache>
            </c:strRef>
          </c:cat>
          <c:val>
            <c:numRef>
              <c:f>'Race by District'!$BD$89:$BF$89</c:f>
              <c:numCache>
                <c:formatCode>_(* #,##0.00_);_(* \(#,##0.00\);_(* "-"??_);_(@_)</c:formatCode>
                <c:ptCount val="3"/>
                <c:pt idx="0">
                  <c:v>0.58808792562690837</c:v>
                </c:pt>
                <c:pt idx="1">
                  <c:v>0.61437383515587218</c:v>
                </c:pt>
                <c:pt idx="2">
                  <c:v>0.5236737351717109</c:v>
                </c:pt>
              </c:numCache>
            </c:numRef>
          </c:val>
          <c:extLst>
            <c:ext xmlns:c16="http://schemas.microsoft.com/office/drawing/2014/chart" uri="{C3380CC4-5D6E-409C-BE32-E72D297353CC}">
              <c16:uniqueId val="{00000004-1C4A-4DC9-B3DE-1DC2C0156514}"/>
            </c:ext>
          </c:extLst>
        </c:ser>
        <c:dLbls>
          <c:showLegendKey val="0"/>
          <c:showVal val="0"/>
          <c:showCatName val="0"/>
          <c:showSerName val="0"/>
          <c:showPercent val="0"/>
          <c:showBubbleSize val="0"/>
        </c:dLbls>
        <c:gapWidth val="150"/>
        <c:axId val="542033104"/>
        <c:axId val="1"/>
      </c:barChart>
      <c:catAx>
        <c:axId val="54203310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3"/>
        </c:scaling>
        <c:delete val="0"/>
        <c:axPos val="l"/>
        <c:majorGridlines/>
        <c:numFmt formatCode="_(* #,##0.00_);_(* \(#,##0.00\);_(* &quot;-&quot;??_);_(@_)" sourceLinked="1"/>
        <c:majorTickMark val="out"/>
        <c:minorTickMark val="none"/>
        <c:tickLblPos val="nextTo"/>
        <c:crossAx val="542033104"/>
        <c:crosses val="autoZero"/>
        <c:crossBetween val="between"/>
        <c:majorUnit val="0.5"/>
      </c:valAx>
    </c:plotArea>
    <c:legend>
      <c:legendPos val="r"/>
      <c:layout>
        <c:manualLayout>
          <c:xMode val="edge"/>
          <c:yMode val="edge"/>
          <c:x val="0.64715472845001609"/>
          <c:y val="0.39678452992748081"/>
          <c:w val="0.33333346565892791"/>
          <c:h val="0.39946550648104484"/>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Disproprtionality Ratio,</a:t>
            </a:r>
          </a:p>
          <a:p>
            <a:pPr>
              <a:defRPr b="0"/>
            </a:pPr>
            <a:r>
              <a:rPr lang="en-US" b="0"/>
              <a:t>Austin ISD, 2018-2019 School Year</a:t>
            </a:r>
          </a:p>
        </c:rich>
      </c:tx>
      <c:overlay val="0"/>
    </c:title>
    <c:autoTitleDeleted val="0"/>
    <c:plotArea>
      <c:layout/>
      <c:barChart>
        <c:barDir val="col"/>
        <c:grouping val="clustered"/>
        <c:varyColors val="0"/>
        <c:ser>
          <c:idx val="0"/>
          <c:order val="0"/>
          <c:tx>
            <c:strRef>
              <c:f>'Race by District'!$B$85</c:f>
              <c:strCache>
                <c:ptCount val="1"/>
                <c:pt idx="0">
                  <c:v>Asian</c:v>
                </c:pt>
              </c:strCache>
            </c:strRef>
          </c:tx>
          <c:spPr>
            <a:solidFill>
              <a:schemeClr val="accent6"/>
            </a:solidFill>
          </c:spPr>
          <c:invertIfNegative val="0"/>
          <c:cat>
            <c:strRef>
              <c:f>'Race by District'!$C$84:$E$84</c:f>
              <c:strCache>
                <c:ptCount val="3"/>
                <c:pt idx="0">
                  <c:v>ISS</c:v>
                </c:pt>
                <c:pt idx="1">
                  <c:v>OSS</c:v>
                </c:pt>
                <c:pt idx="2">
                  <c:v>DAEP</c:v>
                </c:pt>
              </c:strCache>
            </c:strRef>
          </c:cat>
          <c:val>
            <c:numRef>
              <c:f>'Race by District'!$C$85:$E$85</c:f>
              <c:numCache>
                <c:formatCode>_(* #,##0.00_);_(* \(#,##0.00\);_(* "-"??_);_(@_)</c:formatCode>
                <c:ptCount val="3"/>
                <c:pt idx="0">
                  <c:v>0.25485802688394887</c:v>
                </c:pt>
                <c:pt idx="1">
                  <c:v>0.19171514959794636</c:v>
                </c:pt>
                <c:pt idx="2">
                  <c:v>0</c:v>
                </c:pt>
              </c:numCache>
            </c:numRef>
          </c:val>
          <c:extLst>
            <c:ext xmlns:c16="http://schemas.microsoft.com/office/drawing/2014/chart" uri="{C3380CC4-5D6E-409C-BE32-E72D297353CC}">
              <c16:uniqueId val="{00000000-B461-4702-BD75-B99E2D11A364}"/>
            </c:ext>
          </c:extLst>
        </c:ser>
        <c:ser>
          <c:idx val="1"/>
          <c:order val="1"/>
          <c:tx>
            <c:strRef>
              <c:f>'Race by District'!$B$86</c:f>
              <c:strCache>
                <c:ptCount val="1"/>
                <c:pt idx="0">
                  <c:v>Black or African American</c:v>
                </c:pt>
              </c:strCache>
            </c:strRef>
          </c:tx>
          <c:spPr>
            <a:solidFill>
              <a:schemeClr val="accent1"/>
            </a:solidFill>
          </c:spPr>
          <c:invertIfNegative val="0"/>
          <c:cat>
            <c:strRef>
              <c:f>'Race by District'!$C$84:$E$84</c:f>
              <c:strCache>
                <c:ptCount val="3"/>
                <c:pt idx="0">
                  <c:v>ISS</c:v>
                </c:pt>
                <c:pt idx="1">
                  <c:v>OSS</c:v>
                </c:pt>
                <c:pt idx="2">
                  <c:v>DAEP</c:v>
                </c:pt>
              </c:strCache>
            </c:strRef>
          </c:cat>
          <c:val>
            <c:numRef>
              <c:f>'Race by District'!$C$86:$E$86</c:f>
              <c:numCache>
                <c:formatCode>_(* #,##0.00_);_(* \(#,##0.00\);_(* "-"??_);_(@_)</c:formatCode>
                <c:ptCount val="3"/>
                <c:pt idx="0">
                  <c:v>2.0358176330569258</c:v>
                </c:pt>
                <c:pt idx="1">
                  <c:v>2.3856055918635675</c:v>
                </c:pt>
                <c:pt idx="2">
                  <c:v>2.1113338604020782</c:v>
                </c:pt>
              </c:numCache>
            </c:numRef>
          </c:val>
          <c:extLst>
            <c:ext xmlns:c16="http://schemas.microsoft.com/office/drawing/2014/chart" uri="{C3380CC4-5D6E-409C-BE32-E72D297353CC}">
              <c16:uniqueId val="{00000001-B461-4702-BD75-B99E2D11A364}"/>
            </c:ext>
          </c:extLst>
        </c:ser>
        <c:ser>
          <c:idx val="2"/>
          <c:order val="2"/>
          <c:tx>
            <c:strRef>
              <c:f>'Race by District'!$B$87</c:f>
              <c:strCache>
                <c:ptCount val="1"/>
                <c:pt idx="0">
                  <c:v>Hispanic/ Latino</c:v>
                </c:pt>
              </c:strCache>
            </c:strRef>
          </c:tx>
          <c:spPr>
            <a:solidFill>
              <a:schemeClr val="accent2"/>
            </a:solidFill>
          </c:spPr>
          <c:invertIfNegative val="0"/>
          <c:cat>
            <c:strRef>
              <c:f>'Race by District'!$C$84:$E$84</c:f>
              <c:strCache>
                <c:ptCount val="3"/>
                <c:pt idx="0">
                  <c:v>ISS</c:v>
                </c:pt>
                <c:pt idx="1">
                  <c:v>OSS</c:v>
                </c:pt>
                <c:pt idx="2">
                  <c:v>DAEP</c:v>
                </c:pt>
              </c:strCache>
            </c:strRef>
          </c:cat>
          <c:val>
            <c:numRef>
              <c:f>'Race by District'!$C$87:$E$87</c:f>
              <c:numCache>
                <c:formatCode>_(* #,##0.00_);_(* \(#,##0.00\);_(* "-"??_);_(@_)</c:formatCode>
                <c:ptCount val="3"/>
                <c:pt idx="0">
                  <c:v>1.1219669880237315</c:v>
                </c:pt>
                <c:pt idx="1">
                  <c:v>1.1506595428868371</c:v>
                </c:pt>
                <c:pt idx="2">
                  <c:v>1.1922918826346187</c:v>
                </c:pt>
              </c:numCache>
            </c:numRef>
          </c:val>
          <c:extLst>
            <c:ext xmlns:c16="http://schemas.microsoft.com/office/drawing/2014/chart" uri="{C3380CC4-5D6E-409C-BE32-E72D297353CC}">
              <c16:uniqueId val="{00000002-B461-4702-BD75-B99E2D11A364}"/>
            </c:ext>
          </c:extLst>
        </c:ser>
        <c:ser>
          <c:idx val="3"/>
          <c:order val="3"/>
          <c:tx>
            <c:strRef>
              <c:f>'Race by District'!$B$88</c:f>
              <c:strCache>
                <c:ptCount val="1"/>
                <c:pt idx="0">
                  <c:v>Two or more races</c:v>
                </c:pt>
              </c:strCache>
            </c:strRef>
          </c:tx>
          <c:spPr>
            <a:solidFill>
              <a:schemeClr val="accent4"/>
            </a:solidFill>
          </c:spPr>
          <c:invertIfNegative val="0"/>
          <c:cat>
            <c:strRef>
              <c:f>'Race by District'!$C$84:$E$84</c:f>
              <c:strCache>
                <c:ptCount val="3"/>
                <c:pt idx="0">
                  <c:v>ISS</c:v>
                </c:pt>
                <c:pt idx="1">
                  <c:v>OSS</c:v>
                </c:pt>
                <c:pt idx="2">
                  <c:v>DAEP</c:v>
                </c:pt>
              </c:strCache>
            </c:strRef>
          </c:cat>
          <c:val>
            <c:numRef>
              <c:f>'Race by District'!$C$88:$E$88</c:f>
              <c:numCache>
                <c:formatCode>_(* #,##0.00_);_(* \(#,##0.00\);_(* "-"??_);_(@_)</c:formatCode>
                <c:ptCount val="3"/>
                <c:pt idx="0">
                  <c:v>0.81877991495006353</c:v>
                </c:pt>
                <c:pt idx="1">
                  <c:v>0.70538824890137575</c:v>
                </c:pt>
                <c:pt idx="2">
                  <c:v>0.6416884094962596</c:v>
                </c:pt>
              </c:numCache>
            </c:numRef>
          </c:val>
          <c:extLst>
            <c:ext xmlns:c16="http://schemas.microsoft.com/office/drawing/2014/chart" uri="{C3380CC4-5D6E-409C-BE32-E72D297353CC}">
              <c16:uniqueId val="{00000003-B461-4702-BD75-B99E2D11A364}"/>
            </c:ext>
          </c:extLst>
        </c:ser>
        <c:ser>
          <c:idx val="4"/>
          <c:order val="4"/>
          <c:tx>
            <c:strRef>
              <c:f>'Race by District'!$B$89</c:f>
              <c:strCache>
                <c:ptCount val="1"/>
                <c:pt idx="0">
                  <c:v>White</c:v>
                </c:pt>
              </c:strCache>
            </c:strRef>
          </c:tx>
          <c:spPr>
            <a:solidFill>
              <a:schemeClr val="accent3"/>
            </a:solidFill>
          </c:spPr>
          <c:invertIfNegative val="0"/>
          <c:cat>
            <c:strRef>
              <c:f>'Race by District'!$C$84:$E$84</c:f>
              <c:strCache>
                <c:ptCount val="3"/>
                <c:pt idx="0">
                  <c:v>ISS</c:v>
                </c:pt>
                <c:pt idx="1">
                  <c:v>OSS</c:v>
                </c:pt>
                <c:pt idx="2">
                  <c:v>DAEP</c:v>
                </c:pt>
              </c:strCache>
            </c:strRef>
          </c:cat>
          <c:val>
            <c:numRef>
              <c:f>'Race by District'!$C$89:$E$89</c:f>
              <c:numCache>
                <c:formatCode>_(* #,##0.00_);_(* \(#,##0.00\);_(* "-"??_);_(@_)</c:formatCode>
                <c:ptCount val="3"/>
                <c:pt idx="0">
                  <c:v>0.61791688686803559</c:v>
                </c:pt>
                <c:pt idx="1">
                  <c:v>0.48964494791651331</c:v>
                </c:pt>
                <c:pt idx="2">
                  <c:v>0.48170356385046276</c:v>
                </c:pt>
              </c:numCache>
            </c:numRef>
          </c:val>
          <c:extLst>
            <c:ext xmlns:c16="http://schemas.microsoft.com/office/drawing/2014/chart" uri="{C3380CC4-5D6E-409C-BE32-E72D297353CC}">
              <c16:uniqueId val="{00000004-B461-4702-BD75-B99E2D11A364}"/>
            </c:ext>
          </c:extLst>
        </c:ser>
        <c:dLbls>
          <c:showLegendKey val="0"/>
          <c:showVal val="0"/>
          <c:showCatName val="0"/>
          <c:showSerName val="0"/>
          <c:showPercent val="0"/>
          <c:showBubbleSize val="0"/>
        </c:dLbls>
        <c:gapWidth val="150"/>
        <c:axId val="542024464"/>
        <c:axId val="1"/>
      </c:barChart>
      <c:catAx>
        <c:axId val="54202446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_(* #,##0.00_);_(* \(#,##0.00\);_(* &quot;-&quot;??_);_(@_)" sourceLinked="1"/>
        <c:majorTickMark val="out"/>
        <c:minorTickMark val="none"/>
        <c:tickLblPos val="nextTo"/>
        <c:crossAx val="542024464"/>
        <c:crosses val="autoZero"/>
        <c:crossBetween val="between"/>
      </c:valAx>
    </c:plotArea>
    <c:legend>
      <c:legendPos val="r"/>
      <c:layout>
        <c:manualLayout>
          <c:xMode val="edge"/>
          <c:yMode val="edge"/>
          <c:x val="0.64715472845001609"/>
          <c:y val="0.39678452992748081"/>
          <c:w val="0.33333346565892791"/>
          <c:h val="0.39946550648104484"/>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Students Subject to School Disciplinary Action,</a:t>
            </a:r>
          </a:p>
          <a:p>
            <a:pPr>
              <a:defRPr/>
            </a:pPr>
            <a:r>
              <a:rPr lang="en-US"/>
              <a:t>Eanes ISD, 2018-2019 School Year</a:t>
            </a:r>
          </a:p>
        </c:rich>
      </c:tx>
      <c:overlay val="0"/>
    </c:title>
    <c:autoTitleDeleted val="0"/>
    <c:plotArea>
      <c:layout/>
      <c:barChart>
        <c:barDir val="col"/>
        <c:grouping val="clustered"/>
        <c:varyColors val="0"/>
        <c:ser>
          <c:idx val="0"/>
          <c:order val="0"/>
          <c:tx>
            <c:strRef>
              <c:f>'Race by District'!$B$11</c:f>
              <c:strCache>
                <c:ptCount val="1"/>
                <c:pt idx="0">
                  <c:v>Asian</c:v>
                </c:pt>
              </c:strCache>
            </c:strRef>
          </c:tx>
          <c:spPr>
            <a:solidFill>
              <a:schemeClr val="accent6"/>
            </a:solidFill>
          </c:spPr>
          <c:invertIfNegative val="0"/>
          <c:cat>
            <c:strRef>
              <c:f>'Race by District'!$Q$10:$T$10</c:f>
              <c:strCache>
                <c:ptCount val="4"/>
                <c:pt idx="0">
                  <c:v>ISS Percent</c:v>
                </c:pt>
                <c:pt idx="1">
                  <c:v>OSS Percent</c:v>
                </c:pt>
                <c:pt idx="2">
                  <c:v>DAEP Percent</c:v>
                </c:pt>
                <c:pt idx="3">
                  <c:v>JJAEP Percent</c:v>
                </c:pt>
              </c:strCache>
            </c:strRef>
          </c:cat>
          <c:val>
            <c:numRef>
              <c:f>'Race by District'!$Q$11:$T$11</c:f>
              <c:numCache>
                <c:formatCode>0.00%</c:formatCode>
                <c:ptCount val="4"/>
                <c:pt idx="2">
                  <c:v>0</c:v>
                </c:pt>
                <c:pt idx="3">
                  <c:v>0</c:v>
                </c:pt>
              </c:numCache>
            </c:numRef>
          </c:val>
          <c:extLst>
            <c:ext xmlns:c16="http://schemas.microsoft.com/office/drawing/2014/chart" uri="{C3380CC4-5D6E-409C-BE32-E72D297353CC}">
              <c16:uniqueId val="{00000000-3F31-4A7D-8AD0-D28D03B1C5B2}"/>
            </c:ext>
          </c:extLst>
        </c:ser>
        <c:ser>
          <c:idx val="1"/>
          <c:order val="1"/>
          <c:tx>
            <c:strRef>
              <c:f>'Race by District'!$B$12</c:f>
              <c:strCache>
                <c:ptCount val="1"/>
                <c:pt idx="0">
                  <c:v>Black or African American</c:v>
                </c:pt>
              </c:strCache>
            </c:strRef>
          </c:tx>
          <c:spPr>
            <a:solidFill>
              <a:schemeClr val="accent1"/>
            </a:solidFill>
          </c:spPr>
          <c:invertIfNegative val="0"/>
          <c:cat>
            <c:strRef>
              <c:f>'Race by District'!$Q$10:$T$10</c:f>
              <c:strCache>
                <c:ptCount val="4"/>
                <c:pt idx="0">
                  <c:v>ISS Percent</c:v>
                </c:pt>
                <c:pt idx="1">
                  <c:v>OSS Percent</c:v>
                </c:pt>
                <c:pt idx="2">
                  <c:v>DAEP Percent</c:v>
                </c:pt>
                <c:pt idx="3">
                  <c:v>JJAEP Percent</c:v>
                </c:pt>
              </c:strCache>
            </c:strRef>
          </c:cat>
          <c:val>
            <c:numRef>
              <c:f>'Race by District'!$Q$12:$T$12</c:f>
              <c:numCache>
                <c:formatCode>0.00%</c:formatCode>
                <c:ptCount val="4"/>
                <c:pt idx="1">
                  <c:v>0</c:v>
                </c:pt>
                <c:pt idx="2">
                  <c:v>0</c:v>
                </c:pt>
                <c:pt idx="3">
                  <c:v>0</c:v>
                </c:pt>
              </c:numCache>
            </c:numRef>
          </c:val>
          <c:extLst>
            <c:ext xmlns:c16="http://schemas.microsoft.com/office/drawing/2014/chart" uri="{C3380CC4-5D6E-409C-BE32-E72D297353CC}">
              <c16:uniqueId val="{00000001-3F31-4A7D-8AD0-D28D03B1C5B2}"/>
            </c:ext>
          </c:extLst>
        </c:ser>
        <c:ser>
          <c:idx val="2"/>
          <c:order val="2"/>
          <c:tx>
            <c:strRef>
              <c:f>'Race by District'!$B$13</c:f>
              <c:strCache>
                <c:ptCount val="1"/>
                <c:pt idx="0">
                  <c:v>Hispanic/ Latino</c:v>
                </c:pt>
              </c:strCache>
            </c:strRef>
          </c:tx>
          <c:spPr>
            <a:solidFill>
              <a:schemeClr val="accent2"/>
            </a:solidFill>
          </c:spPr>
          <c:invertIfNegative val="0"/>
          <c:cat>
            <c:strRef>
              <c:f>'Race by District'!$Q$10:$T$10</c:f>
              <c:strCache>
                <c:ptCount val="4"/>
                <c:pt idx="0">
                  <c:v>ISS Percent</c:v>
                </c:pt>
                <c:pt idx="1">
                  <c:v>OSS Percent</c:v>
                </c:pt>
                <c:pt idx="2">
                  <c:v>DAEP Percent</c:v>
                </c:pt>
                <c:pt idx="3">
                  <c:v>JJAEP Percent</c:v>
                </c:pt>
              </c:strCache>
            </c:strRef>
          </c:cat>
          <c:val>
            <c:numRef>
              <c:f>'Race by District'!$Q$13:$T$13</c:f>
              <c:numCache>
                <c:formatCode>0.00%</c:formatCode>
                <c:ptCount val="4"/>
                <c:pt idx="0">
                  <c:v>3.8210624417520968E-2</c:v>
                </c:pt>
                <c:pt idx="3">
                  <c:v>0</c:v>
                </c:pt>
              </c:numCache>
            </c:numRef>
          </c:val>
          <c:extLst>
            <c:ext xmlns:c16="http://schemas.microsoft.com/office/drawing/2014/chart" uri="{C3380CC4-5D6E-409C-BE32-E72D297353CC}">
              <c16:uniqueId val="{00000002-3F31-4A7D-8AD0-D28D03B1C5B2}"/>
            </c:ext>
          </c:extLst>
        </c:ser>
        <c:ser>
          <c:idx val="3"/>
          <c:order val="3"/>
          <c:tx>
            <c:strRef>
              <c:f>'Race by District'!$B$14</c:f>
              <c:strCache>
                <c:ptCount val="1"/>
                <c:pt idx="0">
                  <c:v>Two or more races</c:v>
                </c:pt>
              </c:strCache>
            </c:strRef>
          </c:tx>
          <c:invertIfNegative val="0"/>
          <c:cat>
            <c:strRef>
              <c:f>'Race by District'!$Q$10:$T$10</c:f>
              <c:strCache>
                <c:ptCount val="4"/>
                <c:pt idx="0">
                  <c:v>ISS Percent</c:v>
                </c:pt>
                <c:pt idx="1">
                  <c:v>OSS Percent</c:v>
                </c:pt>
                <c:pt idx="2">
                  <c:v>DAEP Percent</c:v>
                </c:pt>
                <c:pt idx="3">
                  <c:v>JJAEP Percent</c:v>
                </c:pt>
              </c:strCache>
            </c:strRef>
          </c:cat>
          <c:val>
            <c:numRef>
              <c:f>'Race by District'!$Q$14:$T$14</c:f>
              <c:numCache>
                <c:formatCode>0.00%</c:formatCode>
                <c:ptCount val="4"/>
                <c:pt idx="0">
                  <c:v>2.729528535980149E-2</c:v>
                </c:pt>
              </c:numCache>
            </c:numRef>
          </c:val>
          <c:extLst>
            <c:ext xmlns:c16="http://schemas.microsoft.com/office/drawing/2014/chart" uri="{C3380CC4-5D6E-409C-BE32-E72D297353CC}">
              <c16:uniqueId val="{00000003-3F31-4A7D-8AD0-D28D03B1C5B2}"/>
            </c:ext>
          </c:extLst>
        </c:ser>
        <c:ser>
          <c:idx val="4"/>
          <c:order val="4"/>
          <c:tx>
            <c:strRef>
              <c:f>'Race by District'!$B$15</c:f>
              <c:strCache>
                <c:ptCount val="1"/>
                <c:pt idx="0">
                  <c:v>White</c:v>
                </c:pt>
              </c:strCache>
            </c:strRef>
          </c:tx>
          <c:spPr>
            <a:solidFill>
              <a:schemeClr val="accent3"/>
            </a:solidFill>
          </c:spPr>
          <c:invertIfNegative val="0"/>
          <c:cat>
            <c:strRef>
              <c:f>'Race by District'!$Q$10:$T$10</c:f>
              <c:strCache>
                <c:ptCount val="4"/>
                <c:pt idx="0">
                  <c:v>ISS Percent</c:v>
                </c:pt>
                <c:pt idx="1">
                  <c:v>OSS Percent</c:v>
                </c:pt>
                <c:pt idx="2">
                  <c:v>DAEP Percent</c:v>
                </c:pt>
                <c:pt idx="3">
                  <c:v>JJAEP Percent</c:v>
                </c:pt>
              </c:strCache>
            </c:strRef>
          </c:cat>
          <c:val>
            <c:numRef>
              <c:f>'Race by District'!$Q$15:$T$15</c:f>
              <c:numCache>
                <c:formatCode>0.00%</c:formatCode>
                <c:ptCount val="4"/>
                <c:pt idx="0">
                  <c:v>2.3181737745531766E-2</c:v>
                </c:pt>
                <c:pt idx="1">
                  <c:v>6.7244735445053973E-3</c:v>
                </c:pt>
                <c:pt idx="2">
                  <c:v>2.6543974517784464E-3</c:v>
                </c:pt>
              </c:numCache>
            </c:numRef>
          </c:val>
          <c:extLst>
            <c:ext xmlns:c16="http://schemas.microsoft.com/office/drawing/2014/chart" uri="{C3380CC4-5D6E-409C-BE32-E72D297353CC}">
              <c16:uniqueId val="{00000004-3F31-4A7D-8AD0-D28D03B1C5B2}"/>
            </c:ext>
          </c:extLst>
        </c:ser>
        <c:ser>
          <c:idx val="5"/>
          <c:order val="5"/>
          <c:tx>
            <c:strRef>
              <c:f>'Race by District'!$B$16</c:f>
              <c:strCache>
                <c:ptCount val="1"/>
                <c:pt idx="0">
                  <c:v>All Students</c:v>
                </c:pt>
              </c:strCache>
            </c:strRef>
          </c:tx>
          <c:spPr>
            <a:solidFill>
              <a:schemeClr val="tx1"/>
            </a:solidFill>
          </c:spPr>
          <c:invertIfNegative val="0"/>
          <c:cat>
            <c:strRef>
              <c:f>'Race by District'!$Q$10:$T$10</c:f>
              <c:strCache>
                <c:ptCount val="4"/>
                <c:pt idx="0">
                  <c:v>ISS Percent</c:v>
                </c:pt>
                <c:pt idx="1">
                  <c:v>OSS Percent</c:v>
                </c:pt>
                <c:pt idx="2">
                  <c:v>DAEP Percent</c:v>
                </c:pt>
                <c:pt idx="3">
                  <c:v>JJAEP Percent</c:v>
                </c:pt>
              </c:strCache>
            </c:strRef>
          </c:cat>
          <c:val>
            <c:numRef>
              <c:f>'Race by District'!$Q$16:$T$16</c:f>
              <c:numCache>
                <c:formatCode>0.00%</c:formatCode>
                <c:ptCount val="4"/>
                <c:pt idx="0">
                  <c:v>2.3166023166023165E-2</c:v>
                </c:pt>
                <c:pt idx="1">
                  <c:v>6.0328185328185329E-3</c:v>
                </c:pt>
                <c:pt idx="2">
                  <c:v>2.5337837837837839E-3</c:v>
                </c:pt>
                <c:pt idx="3">
                  <c:v>0</c:v>
                </c:pt>
              </c:numCache>
            </c:numRef>
          </c:val>
          <c:extLst>
            <c:ext xmlns:c16="http://schemas.microsoft.com/office/drawing/2014/chart" uri="{C3380CC4-5D6E-409C-BE32-E72D297353CC}">
              <c16:uniqueId val="{00000005-3F31-4A7D-8AD0-D28D03B1C5B2}"/>
            </c:ext>
          </c:extLst>
        </c:ser>
        <c:dLbls>
          <c:showLegendKey val="0"/>
          <c:showVal val="0"/>
          <c:showCatName val="0"/>
          <c:showSerName val="0"/>
          <c:showPercent val="0"/>
          <c:showBubbleSize val="0"/>
        </c:dLbls>
        <c:gapWidth val="150"/>
        <c:axId val="542031184"/>
        <c:axId val="1"/>
      </c:barChart>
      <c:catAx>
        <c:axId val="54203118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0.30000000000000004"/>
        </c:scaling>
        <c:delete val="0"/>
        <c:axPos val="l"/>
        <c:majorGridlines/>
        <c:numFmt formatCode="0.00%" sourceLinked="1"/>
        <c:majorTickMark val="out"/>
        <c:minorTickMark val="none"/>
        <c:tickLblPos val="nextTo"/>
        <c:crossAx val="542031184"/>
        <c:crosses val="autoZero"/>
        <c:crossBetween val="between"/>
      </c:valAx>
    </c:plotArea>
    <c:legend>
      <c:legendPos val="r"/>
      <c:layout>
        <c:manualLayout>
          <c:xMode val="edge"/>
          <c:yMode val="edge"/>
          <c:x val="0.67019716678473584"/>
          <c:y val="0.36318529272528349"/>
          <c:w val="0.31013638643537433"/>
          <c:h val="0.44527511916319007"/>
        </c:manualLayout>
      </c:layout>
      <c:overlay val="0"/>
    </c:legend>
    <c:plotVisOnly val="1"/>
    <c:dispBlanksAs val="gap"/>
    <c:showDLblsOverMax val="0"/>
  </c:chart>
  <c:spPr>
    <a:ln>
      <a:noFill/>
    </a:ln>
  </c:spPr>
  <c:txPr>
    <a:bodyPr/>
    <a:lstStyle/>
    <a:p>
      <a:pPr>
        <a:defRPr sz="1000" b="0">
          <a:latin typeface="Corbel" panose="020B0503020204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Disproprtionality Ratio,</a:t>
            </a:r>
          </a:p>
          <a:p>
            <a:pPr>
              <a:defRPr b="0"/>
            </a:pPr>
            <a:r>
              <a:rPr lang="en-US" b="0"/>
              <a:t>Eanes ISD, 2018-2019 School Year</a:t>
            </a:r>
          </a:p>
        </c:rich>
      </c:tx>
      <c:overlay val="0"/>
    </c:title>
    <c:autoTitleDeleted val="0"/>
    <c:plotArea>
      <c:layout/>
      <c:barChart>
        <c:barDir val="col"/>
        <c:grouping val="clustered"/>
        <c:varyColors val="0"/>
        <c:ser>
          <c:idx val="0"/>
          <c:order val="0"/>
          <c:tx>
            <c:strRef>
              <c:f>'Race by District'!$B$85</c:f>
              <c:strCache>
                <c:ptCount val="1"/>
                <c:pt idx="0">
                  <c:v>Asian</c:v>
                </c:pt>
              </c:strCache>
            </c:strRef>
          </c:tx>
          <c:spPr>
            <a:solidFill>
              <a:schemeClr val="accent6"/>
            </a:solidFill>
          </c:spPr>
          <c:invertIfNegative val="0"/>
          <c:cat>
            <c:strRef>
              <c:f>'Race by District'!$R$84:$T$84</c:f>
              <c:strCache>
                <c:ptCount val="3"/>
                <c:pt idx="0">
                  <c:v>ISS</c:v>
                </c:pt>
                <c:pt idx="1">
                  <c:v>OSS</c:v>
                </c:pt>
                <c:pt idx="2">
                  <c:v>DAEP</c:v>
                </c:pt>
              </c:strCache>
            </c:strRef>
          </c:cat>
          <c:val>
            <c:numRef>
              <c:f>'Race by District'!$R$85:$T$85</c:f>
              <c:numCache>
                <c:formatCode>0.00</c:formatCode>
                <c:ptCount val="3"/>
                <c:pt idx="0">
                  <c:v>0</c:v>
                </c:pt>
                <c:pt idx="1">
                  <c:v>0</c:v>
                </c:pt>
                <c:pt idx="2">
                  <c:v>0</c:v>
                </c:pt>
              </c:numCache>
            </c:numRef>
          </c:val>
          <c:extLst>
            <c:ext xmlns:c16="http://schemas.microsoft.com/office/drawing/2014/chart" uri="{C3380CC4-5D6E-409C-BE32-E72D297353CC}">
              <c16:uniqueId val="{00000000-C386-4513-B24C-5E0D57D81768}"/>
            </c:ext>
          </c:extLst>
        </c:ser>
        <c:ser>
          <c:idx val="1"/>
          <c:order val="1"/>
          <c:tx>
            <c:strRef>
              <c:f>'Race by District'!$B$86</c:f>
              <c:strCache>
                <c:ptCount val="1"/>
                <c:pt idx="0">
                  <c:v>Black or African American</c:v>
                </c:pt>
              </c:strCache>
            </c:strRef>
          </c:tx>
          <c:spPr>
            <a:solidFill>
              <a:schemeClr val="accent1"/>
            </a:solidFill>
          </c:spPr>
          <c:invertIfNegative val="0"/>
          <c:cat>
            <c:strRef>
              <c:f>'Race by District'!$R$84:$T$84</c:f>
              <c:strCache>
                <c:ptCount val="3"/>
                <c:pt idx="0">
                  <c:v>ISS</c:v>
                </c:pt>
                <c:pt idx="1">
                  <c:v>OSS</c:v>
                </c:pt>
                <c:pt idx="2">
                  <c:v>DAEP</c:v>
                </c:pt>
              </c:strCache>
            </c:strRef>
          </c:cat>
          <c:val>
            <c:numRef>
              <c:f>'Race by District'!$R$86:$T$86</c:f>
              <c:numCache>
                <c:formatCode>0.00</c:formatCode>
                <c:ptCount val="3"/>
                <c:pt idx="0">
                  <c:v>0</c:v>
                </c:pt>
                <c:pt idx="1">
                  <c:v>0</c:v>
                </c:pt>
                <c:pt idx="2">
                  <c:v>0</c:v>
                </c:pt>
              </c:numCache>
            </c:numRef>
          </c:val>
          <c:extLst>
            <c:ext xmlns:c16="http://schemas.microsoft.com/office/drawing/2014/chart" uri="{C3380CC4-5D6E-409C-BE32-E72D297353CC}">
              <c16:uniqueId val="{00000001-C386-4513-B24C-5E0D57D81768}"/>
            </c:ext>
          </c:extLst>
        </c:ser>
        <c:ser>
          <c:idx val="2"/>
          <c:order val="2"/>
          <c:tx>
            <c:strRef>
              <c:f>'Race by District'!$B$87</c:f>
              <c:strCache>
                <c:ptCount val="1"/>
                <c:pt idx="0">
                  <c:v>Hispanic/ Latino</c:v>
                </c:pt>
              </c:strCache>
            </c:strRef>
          </c:tx>
          <c:spPr>
            <a:solidFill>
              <a:schemeClr val="accent2"/>
            </a:solidFill>
          </c:spPr>
          <c:invertIfNegative val="0"/>
          <c:cat>
            <c:strRef>
              <c:f>'Race by District'!$R$84:$T$84</c:f>
              <c:strCache>
                <c:ptCount val="3"/>
                <c:pt idx="0">
                  <c:v>ISS</c:v>
                </c:pt>
                <c:pt idx="1">
                  <c:v>OSS</c:v>
                </c:pt>
                <c:pt idx="2">
                  <c:v>DAEP</c:v>
                </c:pt>
              </c:strCache>
            </c:strRef>
          </c:cat>
          <c:val>
            <c:numRef>
              <c:f>'Race by District'!$R$87:$T$87</c:f>
              <c:numCache>
                <c:formatCode>0.00</c:formatCode>
                <c:ptCount val="3"/>
                <c:pt idx="0">
                  <c:v>1.6494252873563215</c:v>
                </c:pt>
                <c:pt idx="1">
                  <c:v>0</c:v>
                </c:pt>
                <c:pt idx="2">
                  <c:v>0</c:v>
                </c:pt>
              </c:numCache>
            </c:numRef>
          </c:val>
          <c:extLst>
            <c:ext xmlns:c16="http://schemas.microsoft.com/office/drawing/2014/chart" uri="{C3380CC4-5D6E-409C-BE32-E72D297353CC}">
              <c16:uniqueId val="{00000002-C386-4513-B24C-5E0D57D81768}"/>
            </c:ext>
          </c:extLst>
        </c:ser>
        <c:ser>
          <c:idx val="3"/>
          <c:order val="3"/>
          <c:tx>
            <c:strRef>
              <c:f>'Race by District'!$B$88</c:f>
              <c:strCache>
                <c:ptCount val="1"/>
                <c:pt idx="0">
                  <c:v>Two or more races</c:v>
                </c:pt>
              </c:strCache>
            </c:strRef>
          </c:tx>
          <c:spPr>
            <a:solidFill>
              <a:schemeClr val="accent4"/>
            </a:solidFill>
          </c:spPr>
          <c:invertIfNegative val="0"/>
          <c:cat>
            <c:strRef>
              <c:f>'Race by District'!$R$84:$T$84</c:f>
              <c:strCache>
                <c:ptCount val="3"/>
                <c:pt idx="0">
                  <c:v>ISS</c:v>
                </c:pt>
                <c:pt idx="1">
                  <c:v>OSS</c:v>
                </c:pt>
                <c:pt idx="2">
                  <c:v>DAEP</c:v>
                </c:pt>
              </c:strCache>
            </c:strRef>
          </c:cat>
          <c:val>
            <c:numRef>
              <c:f>'Race by District'!$R$88:$T$88</c:f>
              <c:numCache>
                <c:formatCode>0.00</c:formatCode>
                <c:ptCount val="3"/>
                <c:pt idx="0">
                  <c:v>1.1782464846980976</c:v>
                </c:pt>
                <c:pt idx="1">
                  <c:v>0</c:v>
                </c:pt>
                <c:pt idx="2">
                  <c:v>0</c:v>
                </c:pt>
              </c:numCache>
            </c:numRef>
          </c:val>
          <c:extLst>
            <c:ext xmlns:c16="http://schemas.microsoft.com/office/drawing/2014/chart" uri="{C3380CC4-5D6E-409C-BE32-E72D297353CC}">
              <c16:uniqueId val="{00000003-C386-4513-B24C-5E0D57D81768}"/>
            </c:ext>
          </c:extLst>
        </c:ser>
        <c:ser>
          <c:idx val="4"/>
          <c:order val="4"/>
          <c:tx>
            <c:strRef>
              <c:f>'Race by District'!$B$89</c:f>
              <c:strCache>
                <c:ptCount val="1"/>
                <c:pt idx="0">
                  <c:v>White</c:v>
                </c:pt>
              </c:strCache>
            </c:strRef>
          </c:tx>
          <c:spPr>
            <a:solidFill>
              <a:schemeClr val="accent3"/>
            </a:solidFill>
          </c:spPr>
          <c:invertIfNegative val="0"/>
          <c:cat>
            <c:strRef>
              <c:f>'Race by District'!$R$84:$T$84</c:f>
              <c:strCache>
                <c:ptCount val="3"/>
                <c:pt idx="0">
                  <c:v>ISS</c:v>
                </c:pt>
                <c:pt idx="1">
                  <c:v>OSS</c:v>
                </c:pt>
                <c:pt idx="2">
                  <c:v>DAEP</c:v>
                </c:pt>
              </c:strCache>
            </c:strRef>
          </c:cat>
          <c:val>
            <c:numRef>
              <c:f>'Race by District'!$R$89:$T$89</c:f>
              <c:numCache>
                <c:formatCode>0.00</c:formatCode>
                <c:ptCount val="3"/>
                <c:pt idx="0">
                  <c:v>1.0006783460154545</c:v>
                </c:pt>
                <c:pt idx="1">
                  <c:v>1.1146487347372147</c:v>
                </c:pt>
                <c:pt idx="2">
                  <c:v>1.0476021943018934</c:v>
                </c:pt>
              </c:numCache>
            </c:numRef>
          </c:val>
          <c:extLst>
            <c:ext xmlns:c16="http://schemas.microsoft.com/office/drawing/2014/chart" uri="{C3380CC4-5D6E-409C-BE32-E72D297353CC}">
              <c16:uniqueId val="{00000004-C386-4513-B24C-5E0D57D81768}"/>
            </c:ext>
          </c:extLst>
        </c:ser>
        <c:dLbls>
          <c:showLegendKey val="0"/>
          <c:showVal val="0"/>
          <c:showCatName val="0"/>
          <c:showSerName val="0"/>
          <c:showPercent val="0"/>
          <c:showBubbleSize val="0"/>
        </c:dLbls>
        <c:gapWidth val="150"/>
        <c:axId val="542037264"/>
        <c:axId val="1"/>
      </c:barChart>
      <c:catAx>
        <c:axId val="54203726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3"/>
        </c:scaling>
        <c:delete val="0"/>
        <c:axPos val="l"/>
        <c:majorGridlines/>
        <c:numFmt formatCode="0.00" sourceLinked="1"/>
        <c:majorTickMark val="out"/>
        <c:minorTickMark val="none"/>
        <c:tickLblPos val="nextTo"/>
        <c:crossAx val="542037264"/>
        <c:crosses val="autoZero"/>
        <c:crossBetween val="between"/>
        <c:majorUnit val="0.5"/>
      </c:valAx>
    </c:plotArea>
    <c:legend>
      <c:legendPos val="r"/>
      <c:layout>
        <c:manualLayout>
          <c:xMode val="edge"/>
          <c:yMode val="edge"/>
          <c:x val="0.64715472845001609"/>
          <c:y val="0.39678452992748081"/>
          <c:w val="0.33333346565892791"/>
          <c:h val="0.39946550648104484"/>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Students Subject to School Disciplinary Action,</a:t>
            </a:r>
          </a:p>
          <a:p>
            <a:pPr>
              <a:defRPr/>
            </a:pPr>
            <a:r>
              <a:rPr lang="en-US"/>
              <a:t>Lago Vista ISD, 2018-2019 School Year</a:t>
            </a:r>
          </a:p>
        </c:rich>
      </c:tx>
      <c:overlay val="0"/>
    </c:title>
    <c:autoTitleDeleted val="0"/>
    <c:plotArea>
      <c:layout/>
      <c:barChart>
        <c:barDir val="col"/>
        <c:grouping val="clustered"/>
        <c:varyColors val="0"/>
        <c:ser>
          <c:idx val="0"/>
          <c:order val="0"/>
          <c:tx>
            <c:strRef>
              <c:f>'Race by District'!$B$11</c:f>
              <c:strCache>
                <c:ptCount val="1"/>
                <c:pt idx="0">
                  <c:v>Asian</c:v>
                </c:pt>
              </c:strCache>
            </c:strRef>
          </c:tx>
          <c:spPr>
            <a:solidFill>
              <a:schemeClr val="accent6"/>
            </a:solidFill>
          </c:spPr>
          <c:invertIfNegative val="0"/>
          <c:cat>
            <c:strRef>
              <c:f>'Race by District'!$AG$10:$AJ$10</c:f>
              <c:strCache>
                <c:ptCount val="4"/>
                <c:pt idx="0">
                  <c:v>ISS Percent</c:v>
                </c:pt>
                <c:pt idx="1">
                  <c:v>OSS Percent</c:v>
                </c:pt>
                <c:pt idx="2">
                  <c:v>DAEP Percent</c:v>
                </c:pt>
                <c:pt idx="3">
                  <c:v>JJAEP Percent</c:v>
                </c:pt>
              </c:strCache>
            </c:strRef>
          </c:cat>
          <c:val>
            <c:numRef>
              <c:f>'Race by District'!$AG$11:$AJ$11</c:f>
              <c:numCache>
                <c:formatCode>0.00%</c:formatCode>
                <c:ptCount val="4"/>
                <c:pt idx="0">
                  <c:v>0</c:v>
                </c:pt>
                <c:pt idx="1">
                  <c:v>0</c:v>
                </c:pt>
                <c:pt idx="3">
                  <c:v>0</c:v>
                </c:pt>
              </c:numCache>
            </c:numRef>
          </c:val>
          <c:extLst>
            <c:ext xmlns:c16="http://schemas.microsoft.com/office/drawing/2014/chart" uri="{C3380CC4-5D6E-409C-BE32-E72D297353CC}">
              <c16:uniqueId val="{00000000-CDA8-45EB-89E4-E53845FB8469}"/>
            </c:ext>
          </c:extLst>
        </c:ser>
        <c:ser>
          <c:idx val="1"/>
          <c:order val="1"/>
          <c:tx>
            <c:strRef>
              <c:f>'Race by District'!$B$12</c:f>
              <c:strCache>
                <c:ptCount val="1"/>
                <c:pt idx="0">
                  <c:v>Black or African American</c:v>
                </c:pt>
              </c:strCache>
            </c:strRef>
          </c:tx>
          <c:spPr>
            <a:solidFill>
              <a:schemeClr val="accent1"/>
            </a:solidFill>
          </c:spPr>
          <c:invertIfNegative val="0"/>
          <c:cat>
            <c:strRef>
              <c:f>'Race by District'!$AG$10:$AJ$10</c:f>
              <c:strCache>
                <c:ptCount val="4"/>
                <c:pt idx="0">
                  <c:v>ISS Percent</c:v>
                </c:pt>
                <c:pt idx="1">
                  <c:v>OSS Percent</c:v>
                </c:pt>
                <c:pt idx="2">
                  <c:v>DAEP Percent</c:v>
                </c:pt>
                <c:pt idx="3">
                  <c:v>JJAEP Percent</c:v>
                </c:pt>
              </c:strCache>
            </c:strRef>
          </c:cat>
          <c:val>
            <c:numRef>
              <c:f>'Race by District'!$AG$12:$AJ$12</c:f>
              <c:numCache>
                <c:formatCode>0.00%</c:formatCode>
                <c:ptCount val="4"/>
                <c:pt idx="1">
                  <c:v>0</c:v>
                </c:pt>
                <c:pt idx="2">
                  <c:v>0</c:v>
                </c:pt>
              </c:numCache>
            </c:numRef>
          </c:val>
          <c:extLst>
            <c:ext xmlns:c16="http://schemas.microsoft.com/office/drawing/2014/chart" uri="{C3380CC4-5D6E-409C-BE32-E72D297353CC}">
              <c16:uniqueId val="{00000001-CDA8-45EB-89E4-E53845FB8469}"/>
            </c:ext>
          </c:extLst>
        </c:ser>
        <c:ser>
          <c:idx val="2"/>
          <c:order val="2"/>
          <c:tx>
            <c:strRef>
              <c:f>'Race by District'!$B$13</c:f>
              <c:strCache>
                <c:ptCount val="1"/>
                <c:pt idx="0">
                  <c:v>Hispanic/ Latino</c:v>
                </c:pt>
              </c:strCache>
            </c:strRef>
          </c:tx>
          <c:spPr>
            <a:solidFill>
              <a:schemeClr val="accent2"/>
            </a:solidFill>
          </c:spPr>
          <c:invertIfNegative val="0"/>
          <c:cat>
            <c:strRef>
              <c:f>'Race by District'!$AG$10:$AJ$10</c:f>
              <c:strCache>
                <c:ptCount val="4"/>
                <c:pt idx="0">
                  <c:v>ISS Percent</c:v>
                </c:pt>
                <c:pt idx="1">
                  <c:v>OSS Percent</c:v>
                </c:pt>
                <c:pt idx="2">
                  <c:v>DAEP Percent</c:v>
                </c:pt>
                <c:pt idx="3">
                  <c:v>JJAEP Percent</c:v>
                </c:pt>
              </c:strCache>
            </c:strRef>
          </c:cat>
          <c:val>
            <c:numRef>
              <c:f>'Race by District'!$AG$13:$AJ$13</c:f>
              <c:numCache>
                <c:formatCode>0.00%</c:formatCode>
                <c:ptCount val="4"/>
                <c:pt idx="0">
                  <c:v>8.2262210796915161E-2</c:v>
                </c:pt>
                <c:pt idx="1">
                  <c:v>3.3419023136246784E-2</c:v>
                </c:pt>
                <c:pt idx="3">
                  <c:v>0</c:v>
                </c:pt>
              </c:numCache>
            </c:numRef>
          </c:val>
          <c:extLst>
            <c:ext xmlns:c16="http://schemas.microsoft.com/office/drawing/2014/chart" uri="{C3380CC4-5D6E-409C-BE32-E72D297353CC}">
              <c16:uniqueId val="{00000002-CDA8-45EB-89E4-E53845FB8469}"/>
            </c:ext>
          </c:extLst>
        </c:ser>
        <c:ser>
          <c:idx val="3"/>
          <c:order val="3"/>
          <c:tx>
            <c:strRef>
              <c:f>'Race by District'!$B$14</c:f>
              <c:strCache>
                <c:ptCount val="1"/>
                <c:pt idx="0">
                  <c:v>Two or more races</c:v>
                </c:pt>
              </c:strCache>
            </c:strRef>
          </c:tx>
          <c:invertIfNegative val="0"/>
          <c:cat>
            <c:strRef>
              <c:f>'Race by District'!$AG$10:$AJ$10</c:f>
              <c:strCache>
                <c:ptCount val="4"/>
                <c:pt idx="0">
                  <c:v>ISS Percent</c:v>
                </c:pt>
                <c:pt idx="1">
                  <c:v>OSS Percent</c:v>
                </c:pt>
                <c:pt idx="2">
                  <c:v>DAEP Percent</c:v>
                </c:pt>
                <c:pt idx="3">
                  <c:v>JJAEP Percent</c:v>
                </c:pt>
              </c:strCache>
            </c:strRef>
          </c:cat>
          <c:val>
            <c:numRef>
              <c:f>'Race by District'!$AG$14:$AJ$14</c:f>
              <c:numCache>
                <c:formatCode>0.00%</c:formatCode>
                <c:ptCount val="4"/>
                <c:pt idx="1">
                  <c:v>0</c:v>
                </c:pt>
                <c:pt idx="2">
                  <c:v>0</c:v>
                </c:pt>
              </c:numCache>
            </c:numRef>
          </c:val>
          <c:extLst>
            <c:ext xmlns:c16="http://schemas.microsoft.com/office/drawing/2014/chart" uri="{C3380CC4-5D6E-409C-BE32-E72D297353CC}">
              <c16:uniqueId val="{00000003-CDA8-45EB-89E4-E53845FB8469}"/>
            </c:ext>
          </c:extLst>
        </c:ser>
        <c:ser>
          <c:idx val="4"/>
          <c:order val="4"/>
          <c:tx>
            <c:strRef>
              <c:f>'Race by District'!$B$15</c:f>
              <c:strCache>
                <c:ptCount val="1"/>
                <c:pt idx="0">
                  <c:v>White</c:v>
                </c:pt>
              </c:strCache>
            </c:strRef>
          </c:tx>
          <c:spPr>
            <a:solidFill>
              <a:schemeClr val="accent3"/>
            </a:solidFill>
          </c:spPr>
          <c:invertIfNegative val="0"/>
          <c:cat>
            <c:strRef>
              <c:f>'Race by District'!$AG$10:$AJ$10</c:f>
              <c:strCache>
                <c:ptCount val="4"/>
                <c:pt idx="0">
                  <c:v>ISS Percent</c:v>
                </c:pt>
                <c:pt idx="1">
                  <c:v>OSS Percent</c:v>
                </c:pt>
                <c:pt idx="2">
                  <c:v>DAEP Percent</c:v>
                </c:pt>
                <c:pt idx="3">
                  <c:v>JJAEP Percent</c:v>
                </c:pt>
              </c:strCache>
            </c:strRef>
          </c:cat>
          <c:val>
            <c:numRef>
              <c:f>'Race by District'!$AG$15:$AJ$15</c:f>
              <c:numCache>
                <c:formatCode>0.00%</c:formatCode>
                <c:ptCount val="4"/>
                <c:pt idx="0">
                  <c:v>0.11082251082251082</c:v>
                </c:pt>
                <c:pt idx="1">
                  <c:v>2.9437229437229439E-2</c:v>
                </c:pt>
                <c:pt idx="2">
                  <c:v>2.3376623376623377E-2</c:v>
                </c:pt>
              </c:numCache>
            </c:numRef>
          </c:val>
          <c:extLst>
            <c:ext xmlns:c16="http://schemas.microsoft.com/office/drawing/2014/chart" uri="{C3380CC4-5D6E-409C-BE32-E72D297353CC}">
              <c16:uniqueId val="{00000004-CDA8-45EB-89E4-E53845FB8469}"/>
            </c:ext>
          </c:extLst>
        </c:ser>
        <c:ser>
          <c:idx val="5"/>
          <c:order val="5"/>
          <c:tx>
            <c:strRef>
              <c:f>'Race by District'!$B$16</c:f>
              <c:strCache>
                <c:ptCount val="1"/>
                <c:pt idx="0">
                  <c:v>All Students</c:v>
                </c:pt>
              </c:strCache>
            </c:strRef>
          </c:tx>
          <c:spPr>
            <a:solidFill>
              <a:schemeClr val="tx1"/>
            </a:solidFill>
          </c:spPr>
          <c:invertIfNegative val="0"/>
          <c:cat>
            <c:strRef>
              <c:f>'Race by District'!$AG$10:$AJ$10</c:f>
              <c:strCache>
                <c:ptCount val="4"/>
                <c:pt idx="0">
                  <c:v>ISS Percent</c:v>
                </c:pt>
                <c:pt idx="1">
                  <c:v>OSS Percent</c:v>
                </c:pt>
                <c:pt idx="2">
                  <c:v>DAEP Percent</c:v>
                </c:pt>
                <c:pt idx="3">
                  <c:v>JJAEP Percent</c:v>
                </c:pt>
              </c:strCache>
            </c:strRef>
          </c:cat>
          <c:val>
            <c:numRef>
              <c:f>'Race by District'!$AG$16:$AJ$16</c:f>
              <c:numCache>
                <c:formatCode>0.00%</c:formatCode>
                <c:ptCount val="4"/>
                <c:pt idx="0">
                  <c:v>0.1029678982434888</c:v>
                </c:pt>
                <c:pt idx="1">
                  <c:v>2.8467595396729255E-2</c:v>
                </c:pt>
                <c:pt idx="2">
                  <c:v>2.1199273167777106E-2</c:v>
                </c:pt>
                <c:pt idx="3">
                  <c:v>0</c:v>
                </c:pt>
              </c:numCache>
            </c:numRef>
          </c:val>
          <c:extLst>
            <c:ext xmlns:c16="http://schemas.microsoft.com/office/drawing/2014/chart" uri="{C3380CC4-5D6E-409C-BE32-E72D297353CC}">
              <c16:uniqueId val="{00000005-CDA8-45EB-89E4-E53845FB8469}"/>
            </c:ext>
          </c:extLst>
        </c:ser>
        <c:dLbls>
          <c:showLegendKey val="0"/>
          <c:showVal val="0"/>
          <c:showCatName val="0"/>
          <c:showSerName val="0"/>
          <c:showPercent val="0"/>
          <c:showBubbleSize val="0"/>
        </c:dLbls>
        <c:gapWidth val="150"/>
        <c:axId val="542036304"/>
        <c:axId val="1"/>
      </c:barChart>
      <c:catAx>
        <c:axId val="54203630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0.30000000000000004"/>
        </c:scaling>
        <c:delete val="0"/>
        <c:axPos val="l"/>
        <c:majorGridlines/>
        <c:numFmt formatCode="0.00%" sourceLinked="1"/>
        <c:majorTickMark val="out"/>
        <c:minorTickMark val="none"/>
        <c:tickLblPos val="nextTo"/>
        <c:crossAx val="542036304"/>
        <c:crosses val="autoZero"/>
        <c:crossBetween val="between"/>
      </c:valAx>
    </c:plotArea>
    <c:legend>
      <c:legendPos val="r"/>
      <c:layout>
        <c:manualLayout>
          <c:xMode val="edge"/>
          <c:yMode val="edge"/>
          <c:x val="0.67019716678473584"/>
          <c:y val="0.36318529272528349"/>
          <c:w val="0.31013638643537433"/>
          <c:h val="0.44527511916319007"/>
        </c:manualLayout>
      </c:layout>
      <c:overlay val="0"/>
    </c:legend>
    <c:plotVisOnly val="1"/>
    <c:dispBlanksAs val="gap"/>
    <c:showDLblsOverMax val="0"/>
  </c:chart>
  <c:spPr>
    <a:ln>
      <a:noFill/>
    </a:ln>
  </c:spPr>
  <c:txPr>
    <a:bodyPr/>
    <a:lstStyle/>
    <a:p>
      <a:pPr>
        <a:defRPr sz="1000" b="0">
          <a:latin typeface="Corbel" panose="020B0503020204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Percent of Students Subject to Each Type of Disciplinary Action,</a:t>
            </a:r>
          </a:p>
          <a:p>
            <a:pPr>
              <a:defRPr b="0"/>
            </a:pPr>
            <a:r>
              <a:rPr lang="en-US" b="0"/>
              <a:t>Del Valle ISD, by School Year</a:t>
            </a:r>
          </a:p>
        </c:rich>
      </c:tx>
      <c:overlay val="0"/>
    </c:title>
    <c:autoTitleDeleted val="0"/>
    <c:plotArea>
      <c:layout/>
      <c:barChart>
        <c:barDir val="col"/>
        <c:grouping val="clustered"/>
        <c:varyColors val="0"/>
        <c:ser>
          <c:idx val="0"/>
          <c:order val="0"/>
          <c:tx>
            <c:strRef>
              <c:f>'Overall Breakdown'!$B$31</c:f>
              <c:strCache>
                <c:ptCount val="1"/>
                <c:pt idx="0">
                  <c:v>2013-2014</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Breakdown'!$D$31:$G$31</c:f>
              <c:numCache>
                <c:formatCode>0.0%</c:formatCode>
                <c:ptCount val="4"/>
                <c:pt idx="0">
                  <c:v>0.19043941617113291</c:v>
                </c:pt>
                <c:pt idx="1">
                  <c:v>7.2400000000000006E-2</c:v>
                </c:pt>
                <c:pt idx="2">
                  <c:v>3.2500000000000001E-2</c:v>
                </c:pt>
              </c:numCache>
            </c:numRef>
          </c:val>
          <c:extLst>
            <c:ext xmlns:c16="http://schemas.microsoft.com/office/drawing/2014/chart" uri="{C3380CC4-5D6E-409C-BE32-E72D297353CC}">
              <c16:uniqueId val="{00000000-17E4-4730-BC9C-03AC2E84C199}"/>
            </c:ext>
          </c:extLst>
        </c:ser>
        <c:ser>
          <c:idx val="1"/>
          <c:order val="1"/>
          <c:tx>
            <c:strRef>
              <c:f>'Overall Breakdown'!$B$32</c:f>
              <c:strCache>
                <c:ptCount val="1"/>
                <c:pt idx="0">
                  <c:v>2014-2015</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Breakdown'!$D$32:$G$32</c:f>
              <c:numCache>
                <c:formatCode>0.0%</c:formatCode>
                <c:ptCount val="4"/>
                <c:pt idx="0">
                  <c:v>0.17618422069391856</c:v>
                </c:pt>
                <c:pt idx="1">
                  <c:v>6.6687273008268294E-2</c:v>
                </c:pt>
                <c:pt idx="2">
                  <c:v>3.3150452051618887E-2</c:v>
                </c:pt>
                <c:pt idx="3">
                  <c:v>5.4091646704273237E-6</c:v>
                </c:pt>
              </c:numCache>
            </c:numRef>
          </c:val>
          <c:extLst>
            <c:ext xmlns:c16="http://schemas.microsoft.com/office/drawing/2014/chart" uri="{C3380CC4-5D6E-409C-BE32-E72D297353CC}">
              <c16:uniqueId val="{00000001-17E4-4730-BC9C-03AC2E84C199}"/>
            </c:ext>
          </c:extLst>
        </c:ser>
        <c:ser>
          <c:idx val="2"/>
          <c:order val="2"/>
          <c:tx>
            <c:strRef>
              <c:f>'Overall Breakdown'!$B$33</c:f>
              <c:strCache>
                <c:ptCount val="1"/>
                <c:pt idx="0">
                  <c:v>2015-2016</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Breakdown'!$D$33:$G$33</c:f>
              <c:numCache>
                <c:formatCode>0.0%</c:formatCode>
                <c:ptCount val="4"/>
                <c:pt idx="0">
                  <c:v>0.14272278391723489</c:v>
                </c:pt>
                <c:pt idx="1">
                  <c:v>5.5568618230268832E-2</c:v>
                </c:pt>
                <c:pt idx="2">
                  <c:v>1.8339995297437104E-2</c:v>
                </c:pt>
                <c:pt idx="3">
                  <c:v>3.9188024139822871E-4</c:v>
                </c:pt>
              </c:numCache>
            </c:numRef>
          </c:val>
          <c:extLst>
            <c:ext xmlns:c16="http://schemas.microsoft.com/office/drawing/2014/chart" uri="{C3380CC4-5D6E-409C-BE32-E72D297353CC}">
              <c16:uniqueId val="{00000002-17E4-4730-BC9C-03AC2E84C199}"/>
            </c:ext>
          </c:extLst>
        </c:ser>
        <c:ser>
          <c:idx val="3"/>
          <c:order val="3"/>
          <c:tx>
            <c:strRef>
              <c:f>'Overall Breakdown'!$B$34</c:f>
              <c:strCache>
                <c:ptCount val="1"/>
                <c:pt idx="0">
                  <c:v>2016-2017</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Breakdown'!$D$34:$G$34</c:f>
              <c:numCache>
                <c:formatCode>0.0%</c:formatCode>
                <c:ptCount val="4"/>
                <c:pt idx="0">
                  <c:v>0.14909265328963148</c:v>
                </c:pt>
                <c:pt idx="1">
                  <c:v>5.7638500279798548E-2</c:v>
                </c:pt>
                <c:pt idx="2">
                  <c:v>1.8146934207370694E-2</c:v>
                </c:pt>
                <c:pt idx="3">
                  <c:v>3.9971220721080823E-4</c:v>
                </c:pt>
              </c:numCache>
            </c:numRef>
          </c:val>
          <c:extLst>
            <c:ext xmlns:c16="http://schemas.microsoft.com/office/drawing/2014/chart" uri="{C3380CC4-5D6E-409C-BE32-E72D297353CC}">
              <c16:uniqueId val="{00000003-17E4-4730-BC9C-03AC2E84C199}"/>
            </c:ext>
          </c:extLst>
        </c:ser>
        <c:ser>
          <c:idx val="4"/>
          <c:order val="4"/>
          <c:tx>
            <c:strRef>
              <c:f>'Overall Breakdown'!$B$35</c:f>
              <c:strCache>
                <c:ptCount val="1"/>
                <c:pt idx="0">
                  <c:v>2017-2018</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Breakdown'!$D$35:$G$35</c:f>
              <c:numCache>
                <c:formatCode>0.0%</c:formatCode>
                <c:ptCount val="4"/>
                <c:pt idx="0">
                  <c:v>0.13159392018206942</c:v>
                </c:pt>
                <c:pt idx="1">
                  <c:v>5.657156791026579E-2</c:v>
                </c:pt>
                <c:pt idx="2">
                  <c:v>1.885718930342193E-2</c:v>
                </c:pt>
                <c:pt idx="3">
                  <c:v>9.7537186052182399E-4</c:v>
                </c:pt>
              </c:numCache>
            </c:numRef>
          </c:val>
          <c:extLst>
            <c:ext xmlns:c16="http://schemas.microsoft.com/office/drawing/2014/chart" uri="{C3380CC4-5D6E-409C-BE32-E72D297353CC}">
              <c16:uniqueId val="{00000004-17E4-4730-BC9C-03AC2E84C199}"/>
            </c:ext>
          </c:extLst>
        </c:ser>
        <c:ser>
          <c:idx val="5"/>
          <c:order val="5"/>
          <c:tx>
            <c:strRef>
              <c:f>'Overall Breakdown'!$B$36</c:f>
              <c:strCache>
                <c:ptCount val="1"/>
                <c:pt idx="0">
                  <c:v>2018-2019</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Breakdown'!$D$36:$G$36</c:f>
              <c:numCache>
                <c:formatCode>0.0%</c:formatCode>
                <c:ptCount val="4"/>
                <c:pt idx="0">
                  <c:v>8.5642737896494153E-2</c:v>
                </c:pt>
                <c:pt idx="1">
                  <c:v>4.9666110183639402E-2</c:v>
                </c:pt>
                <c:pt idx="2">
                  <c:v>2.2454090150250416E-2</c:v>
                </c:pt>
                <c:pt idx="3">
                  <c:v>1.7529215358931553E-3</c:v>
                </c:pt>
              </c:numCache>
            </c:numRef>
          </c:val>
          <c:extLst>
            <c:ext xmlns:c16="http://schemas.microsoft.com/office/drawing/2014/chart" uri="{C3380CC4-5D6E-409C-BE32-E72D297353CC}">
              <c16:uniqueId val="{00000000-E734-4FF5-B2B8-032C33BD3FE8}"/>
            </c:ext>
          </c:extLst>
        </c:ser>
        <c:dLbls>
          <c:showLegendKey val="0"/>
          <c:showVal val="0"/>
          <c:showCatName val="0"/>
          <c:showSerName val="0"/>
          <c:showPercent val="0"/>
          <c:showBubbleSize val="0"/>
        </c:dLbls>
        <c:gapWidth val="150"/>
        <c:axId val="531460368"/>
        <c:axId val="1"/>
      </c:barChart>
      <c:catAx>
        <c:axId val="531460368"/>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0.2"/>
        </c:scaling>
        <c:delete val="0"/>
        <c:axPos val="l"/>
        <c:majorGridlines/>
        <c:numFmt formatCode="0.0%" sourceLinked="1"/>
        <c:majorTickMark val="none"/>
        <c:minorTickMark val="none"/>
        <c:tickLblPos val="nextTo"/>
        <c:crossAx val="531460368"/>
        <c:crosses val="autoZero"/>
        <c:crossBetween val="between"/>
      </c:valAx>
    </c:plotArea>
    <c:legend>
      <c:legendPos val="r"/>
      <c:layout>
        <c:manualLayout>
          <c:xMode val="edge"/>
          <c:yMode val="edge"/>
          <c:x val="0.83685151922105561"/>
          <c:y val="0.39247453495801193"/>
          <c:w val="0.14097459863930512"/>
          <c:h val="0.48609982219964443"/>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Disproprtionality Ratio,</a:t>
            </a:r>
          </a:p>
          <a:p>
            <a:pPr>
              <a:defRPr b="0"/>
            </a:pPr>
            <a:r>
              <a:rPr lang="en-US" b="0"/>
              <a:t>Lago Vista ISD, 2018-2019 School Year</a:t>
            </a:r>
          </a:p>
        </c:rich>
      </c:tx>
      <c:overlay val="0"/>
    </c:title>
    <c:autoTitleDeleted val="0"/>
    <c:plotArea>
      <c:layout/>
      <c:barChart>
        <c:barDir val="col"/>
        <c:grouping val="clustered"/>
        <c:varyColors val="0"/>
        <c:ser>
          <c:idx val="0"/>
          <c:order val="0"/>
          <c:tx>
            <c:strRef>
              <c:f>'Race by District'!$B$85</c:f>
              <c:strCache>
                <c:ptCount val="1"/>
                <c:pt idx="0">
                  <c:v>Asian</c:v>
                </c:pt>
              </c:strCache>
            </c:strRef>
          </c:tx>
          <c:spPr>
            <a:solidFill>
              <a:schemeClr val="accent6"/>
            </a:solidFill>
          </c:spPr>
          <c:invertIfNegative val="0"/>
          <c:cat>
            <c:strRef>
              <c:f>'Race by District'!$AH$84:$AJ$84</c:f>
              <c:strCache>
                <c:ptCount val="3"/>
                <c:pt idx="0">
                  <c:v>ISS</c:v>
                </c:pt>
                <c:pt idx="1">
                  <c:v>OSS</c:v>
                </c:pt>
                <c:pt idx="2">
                  <c:v>DAEP</c:v>
                </c:pt>
              </c:strCache>
            </c:strRef>
          </c:cat>
          <c:val>
            <c:numRef>
              <c:f>'Race by District'!$AH$85:$AJ$85</c:f>
              <c:numCache>
                <c:formatCode>0.00</c:formatCode>
                <c:ptCount val="3"/>
                <c:pt idx="0">
                  <c:v>0</c:v>
                </c:pt>
                <c:pt idx="1">
                  <c:v>0</c:v>
                </c:pt>
                <c:pt idx="2">
                  <c:v>0</c:v>
                </c:pt>
              </c:numCache>
            </c:numRef>
          </c:val>
          <c:extLst>
            <c:ext xmlns:c16="http://schemas.microsoft.com/office/drawing/2014/chart" uri="{C3380CC4-5D6E-409C-BE32-E72D297353CC}">
              <c16:uniqueId val="{00000000-61F3-42BD-8285-89335D331387}"/>
            </c:ext>
          </c:extLst>
        </c:ser>
        <c:ser>
          <c:idx val="1"/>
          <c:order val="1"/>
          <c:tx>
            <c:strRef>
              <c:f>'Race by District'!$B$86</c:f>
              <c:strCache>
                <c:ptCount val="1"/>
                <c:pt idx="0">
                  <c:v>Black or African American</c:v>
                </c:pt>
              </c:strCache>
            </c:strRef>
          </c:tx>
          <c:spPr>
            <a:solidFill>
              <a:schemeClr val="accent1"/>
            </a:solidFill>
          </c:spPr>
          <c:invertIfNegative val="0"/>
          <c:cat>
            <c:strRef>
              <c:f>'Race by District'!$AH$84:$AJ$84</c:f>
              <c:strCache>
                <c:ptCount val="3"/>
                <c:pt idx="0">
                  <c:v>ISS</c:v>
                </c:pt>
                <c:pt idx="1">
                  <c:v>OSS</c:v>
                </c:pt>
                <c:pt idx="2">
                  <c:v>DAEP</c:v>
                </c:pt>
              </c:strCache>
            </c:strRef>
          </c:cat>
          <c:val>
            <c:numRef>
              <c:f>'Race by District'!$AH$86:$AJ$86</c:f>
              <c:numCache>
                <c:formatCode>0.00</c:formatCode>
                <c:ptCount val="3"/>
                <c:pt idx="0">
                  <c:v>0</c:v>
                </c:pt>
                <c:pt idx="1">
                  <c:v>0</c:v>
                </c:pt>
                <c:pt idx="2">
                  <c:v>0</c:v>
                </c:pt>
              </c:numCache>
            </c:numRef>
          </c:val>
          <c:extLst>
            <c:ext xmlns:c16="http://schemas.microsoft.com/office/drawing/2014/chart" uri="{C3380CC4-5D6E-409C-BE32-E72D297353CC}">
              <c16:uniqueId val="{00000001-61F3-42BD-8285-89335D331387}"/>
            </c:ext>
          </c:extLst>
        </c:ser>
        <c:ser>
          <c:idx val="2"/>
          <c:order val="2"/>
          <c:tx>
            <c:strRef>
              <c:f>'Race by District'!$B$87</c:f>
              <c:strCache>
                <c:ptCount val="1"/>
                <c:pt idx="0">
                  <c:v>Hispanic/ Latino</c:v>
                </c:pt>
              </c:strCache>
            </c:strRef>
          </c:tx>
          <c:spPr>
            <a:solidFill>
              <a:schemeClr val="accent2"/>
            </a:solidFill>
          </c:spPr>
          <c:invertIfNegative val="0"/>
          <c:cat>
            <c:strRef>
              <c:f>'Race by District'!$AH$84:$AJ$84</c:f>
              <c:strCache>
                <c:ptCount val="3"/>
                <c:pt idx="0">
                  <c:v>ISS</c:v>
                </c:pt>
                <c:pt idx="1">
                  <c:v>OSS</c:v>
                </c:pt>
                <c:pt idx="2">
                  <c:v>DAEP</c:v>
                </c:pt>
              </c:strCache>
            </c:strRef>
          </c:cat>
          <c:val>
            <c:numRef>
              <c:f>'Race by District'!$AH$87:$AJ$87</c:f>
              <c:numCache>
                <c:formatCode>0.00</c:formatCode>
                <c:ptCount val="3"/>
                <c:pt idx="0">
                  <c:v>0.79891123544533493</c:v>
                </c:pt>
                <c:pt idx="1">
                  <c:v>1.1739320680413501</c:v>
                </c:pt>
                <c:pt idx="2">
                  <c:v>0</c:v>
                </c:pt>
              </c:numCache>
            </c:numRef>
          </c:val>
          <c:extLst>
            <c:ext xmlns:c16="http://schemas.microsoft.com/office/drawing/2014/chart" uri="{C3380CC4-5D6E-409C-BE32-E72D297353CC}">
              <c16:uniqueId val="{00000002-61F3-42BD-8285-89335D331387}"/>
            </c:ext>
          </c:extLst>
        </c:ser>
        <c:ser>
          <c:idx val="3"/>
          <c:order val="3"/>
          <c:tx>
            <c:strRef>
              <c:f>'Race by District'!$B$88</c:f>
              <c:strCache>
                <c:ptCount val="1"/>
                <c:pt idx="0">
                  <c:v>Two or more races</c:v>
                </c:pt>
              </c:strCache>
            </c:strRef>
          </c:tx>
          <c:spPr>
            <a:solidFill>
              <a:schemeClr val="accent4"/>
            </a:solidFill>
          </c:spPr>
          <c:invertIfNegative val="0"/>
          <c:cat>
            <c:strRef>
              <c:f>'Race by District'!$AH$84:$AJ$84</c:f>
              <c:strCache>
                <c:ptCount val="3"/>
                <c:pt idx="0">
                  <c:v>ISS</c:v>
                </c:pt>
                <c:pt idx="1">
                  <c:v>OSS</c:v>
                </c:pt>
                <c:pt idx="2">
                  <c:v>DAEP</c:v>
                </c:pt>
              </c:strCache>
            </c:strRef>
          </c:cat>
          <c:val>
            <c:numRef>
              <c:f>'Race by District'!$AH$88:$AJ$88</c:f>
              <c:numCache>
                <c:formatCode>0.00</c:formatCode>
                <c:ptCount val="3"/>
                <c:pt idx="0">
                  <c:v>0</c:v>
                </c:pt>
                <c:pt idx="1">
                  <c:v>0</c:v>
                </c:pt>
                <c:pt idx="2">
                  <c:v>0</c:v>
                </c:pt>
              </c:numCache>
            </c:numRef>
          </c:val>
          <c:extLst>
            <c:ext xmlns:c16="http://schemas.microsoft.com/office/drawing/2014/chart" uri="{C3380CC4-5D6E-409C-BE32-E72D297353CC}">
              <c16:uniqueId val="{00000003-61F3-42BD-8285-89335D331387}"/>
            </c:ext>
          </c:extLst>
        </c:ser>
        <c:ser>
          <c:idx val="4"/>
          <c:order val="4"/>
          <c:tx>
            <c:strRef>
              <c:f>'Race by District'!$B$89</c:f>
              <c:strCache>
                <c:ptCount val="1"/>
                <c:pt idx="0">
                  <c:v>White</c:v>
                </c:pt>
              </c:strCache>
            </c:strRef>
          </c:tx>
          <c:spPr>
            <a:solidFill>
              <a:schemeClr val="accent3"/>
            </a:solidFill>
          </c:spPr>
          <c:invertIfNegative val="0"/>
          <c:cat>
            <c:strRef>
              <c:f>'Race by District'!$AH$84:$AJ$84</c:f>
              <c:strCache>
                <c:ptCount val="3"/>
                <c:pt idx="0">
                  <c:v>ISS</c:v>
                </c:pt>
                <c:pt idx="1">
                  <c:v>OSS</c:v>
                </c:pt>
                <c:pt idx="2">
                  <c:v>DAEP</c:v>
                </c:pt>
              </c:strCache>
            </c:strRef>
          </c:cat>
          <c:val>
            <c:numRef>
              <c:f>'Race by District'!$AH$89:$AJ$89</c:f>
              <c:numCache>
                <c:formatCode>0.00</c:formatCode>
                <c:ptCount val="3"/>
                <c:pt idx="0">
                  <c:v>1.0762821492233257</c:v>
                </c:pt>
                <c:pt idx="1">
                  <c:v>1.0340609744865066</c:v>
                </c:pt>
                <c:pt idx="2">
                  <c:v>1.102708719851577</c:v>
                </c:pt>
              </c:numCache>
            </c:numRef>
          </c:val>
          <c:extLst>
            <c:ext xmlns:c16="http://schemas.microsoft.com/office/drawing/2014/chart" uri="{C3380CC4-5D6E-409C-BE32-E72D297353CC}">
              <c16:uniqueId val="{00000004-61F3-42BD-8285-89335D331387}"/>
            </c:ext>
          </c:extLst>
        </c:ser>
        <c:dLbls>
          <c:showLegendKey val="0"/>
          <c:showVal val="0"/>
          <c:showCatName val="0"/>
          <c:showSerName val="0"/>
          <c:showPercent val="0"/>
          <c:showBubbleSize val="0"/>
        </c:dLbls>
        <c:gapWidth val="150"/>
        <c:axId val="542044944"/>
        <c:axId val="1"/>
      </c:barChart>
      <c:catAx>
        <c:axId val="54204494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3"/>
        </c:scaling>
        <c:delete val="0"/>
        <c:axPos val="l"/>
        <c:majorGridlines/>
        <c:numFmt formatCode="0.00" sourceLinked="1"/>
        <c:majorTickMark val="out"/>
        <c:minorTickMark val="none"/>
        <c:tickLblPos val="nextTo"/>
        <c:crossAx val="542044944"/>
        <c:crosses val="autoZero"/>
        <c:crossBetween val="between"/>
        <c:majorUnit val="0.5"/>
      </c:valAx>
    </c:plotArea>
    <c:legend>
      <c:legendPos val="r"/>
      <c:layout>
        <c:manualLayout>
          <c:xMode val="edge"/>
          <c:yMode val="edge"/>
          <c:x val="0.64715472845001609"/>
          <c:y val="0.39678452992748081"/>
          <c:w val="0.33333346565892791"/>
          <c:h val="0.39946550648104484"/>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Students Subject to School Disciplinary Action,</a:t>
            </a:r>
          </a:p>
          <a:p>
            <a:pPr>
              <a:defRPr/>
            </a:pPr>
            <a:r>
              <a:rPr lang="en-US"/>
              <a:t>Lake Travis ISD, 2018-2019 School Year</a:t>
            </a:r>
          </a:p>
        </c:rich>
      </c:tx>
      <c:overlay val="0"/>
    </c:title>
    <c:autoTitleDeleted val="0"/>
    <c:plotArea>
      <c:layout/>
      <c:barChart>
        <c:barDir val="col"/>
        <c:grouping val="clustered"/>
        <c:varyColors val="0"/>
        <c:ser>
          <c:idx val="0"/>
          <c:order val="0"/>
          <c:tx>
            <c:strRef>
              <c:f>'Race by District'!$B$11</c:f>
              <c:strCache>
                <c:ptCount val="1"/>
                <c:pt idx="0">
                  <c:v>Asian</c:v>
                </c:pt>
              </c:strCache>
            </c:strRef>
          </c:tx>
          <c:spPr>
            <a:solidFill>
              <a:schemeClr val="accent6"/>
            </a:solidFill>
          </c:spPr>
          <c:invertIfNegative val="0"/>
          <c:cat>
            <c:strRef>
              <c:f>'Race by District'!$AO$10:$AR$10</c:f>
              <c:strCache>
                <c:ptCount val="4"/>
                <c:pt idx="0">
                  <c:v>ISS Percent</c:v>
                </c:pt>
                <c:pt idx="1">
                  <c:v>OSS Percent</c:v>
                </c:pt>
                <c:pt idx="2">
                  <c:v>DAEP Percent</c:v>
                </c:pt>
                <c:pt idx="3">
                  <c:v>JJAEP Percent</c:v>
                </c:pt>
              </c:strCache>
            </c:strRef>
          </c:cat>
          <c:val>
            <c:numRef>
              <c:f>'Race by District'!$AO$11:$AR$11</c:f>
              <c:numCache>
                <c:formatCode>0.00%</c:formatCode>
                <c:ptCount val="4"/>
                <c:pt idx="3">
                  <c:v>0</c:v>
                </c:pt>
              </c:numCache>
            </c:numRef>
          </c:val>
          <c:extLst>
            <c:ext xmlns:c16="http://schemas.microsoft.com/office/drawing/2014/chart" uri="{C3380CC4-5D6E-409C-BE32-E72D297353CC}">
              <c16:uniqueId val="{00000000-03F3-467F-A42F-DDC6F49E2928}"/>
            </c:ext>
          </c:extLst>
        </c:ser>
        <c:ser>
          <c:idx val="1"/>
          <c:order val="1"/>
          <c:tx>
            <c:strRef>
              <c:f>'Race by District'!$B$12</c:f>
              <c:strCache>
                <c:ptCount val="1"/>
                <c:pt idx="0">
                  <c:v>Black or African American</c:v>
                </c:pt>
              </c:strCache>
            </c:strRef>
          </c:tx>
          <c:spPr>
            <a:solidFill>
              <a:schemeClr val="accent1"/>
            </a:solidFill>
          </c:spPr>
          <c:invertIfNegative val="0"/>
          <c:cat>
            <c:strRef>
              <c:f>'Race by District'!$AO$10:$AR$10</c:f>
              <c:strCache>
                <c:ptCount val="4"/>
                <c:pt idx="0">
                  <c:v>ISS Percent</c:v>
                </c:pt>
                <c:pt idx="1">
                  <c:v>OSS Percent</c:v>
                </c:pt>
                <c:pt idx="2">
                  <c:v>DAEP Percent</c:v>
                </c:pt>
                <c:pt idx="3">
                  <c:v>JJAEP Percent</c:v>
                </c:pt>
              </c:strCache>
            </c:strRef>
          </c:cat>
          <c:val>
            <c:numRef>
              <c:f>'Race by District'!$AO$12:$AR$12</c:f>
              <c:numCache>
                <c:formatCode>0.00%</c:formatCode>
                <c:ptCount val="4"/>
                <c:pt idx="0">
                  <c:v>6.5868263473053898E-2</c:v>
                </c:pt>
              </c:numCache>
            </c:numRef>
          </c:val>
          <c:extLst>
            <c:ext xmlns:c16="http://schemas.microsoft.com/office/drawing/2014/chart" uri="{C3380CC4-5D6E-409C-BE32-E72D297353CC}">
              <c16:uniqueId val="{00000001-03F3-467F-A42F-DDC6F49E2928}"/>
            </c:ext>
          </c:extLst>
        </c:ser>
        <c:ser>
          <c:idx val="2"/>
          <c:order val="2"/>
          <c:tx>
            <c:strRef>
              <c:f>'Race by District'!$B$13</c:f>
              <c:strCache>
                <c:ptCount val="1"/>
                <c:pt idx="0">
                  <c:v>Hispanic/ Latino</c:v>
                </c:pt>
              </c:strCache>
            </c:strRef>
          </c:tx>
          <c:spPr>
            <a:solidFill>
              <a:schemeClr val="accent2"/>
            </a:solidFill>
          </c:spPr>
          <c:invertIfNegative val="0"/>
          <c:cat>
            <c:strRef>
              <c:f>'Race by District'!$AO$10:$AR$10</c:f>
              <c:strCache>
                <c:ptCount val="4"/>
                <c:pt idx="0">
                  <c:v>ISS Percent</c:v>
                </c:pt>
                <c:pt idx="1">
                  <c:v>OSS Percent</c:v>
                </c:pt>
                <c:pt idx="2">
                  <c:v>DAEP Percent</c:v>
                </c:pt>
                <c:pt idx="3">
                  <c:v>JJAEP Percent</c:v>
                </c:pt>
              </c:strCache>
            </c:strRef>
          </c:cat>
          <c:val>
            <c:numRef>
              <c:f>'Race by District'!$AO$13:$AR$13</c:f>
              <c:numCache>
                <c:formatCode>0.00%</c:formatCode>
                <c:ptCount val="4"/>
                <c:pt idx="0">
                  <c:v>4.2958370239149689E-2</c:v>
                </c:pt>
                <c:pt idx="1">
                  <c:v>1.682905225863596E-2</c:v>
                </c:pt>
                <c:pt idx="2">
                  <c:v>5.3144375553587243E-3</c:v>
                </c:pt>
                <c:pt idx="3">
                  <c:v>0</c:v>
                </c:pt>
              </c:numCache>
            </c:numRef>
          </c:val>
          <c:extLst>
            <c:ext xmlns:c16="http://schemas.microsoft.com/office/drawing/2014/chart" uri="{C3380CC4-5D6E-409C-BE32-E72D297353CC}">
              <c16:uniqueId val="{00000002-03F3-467F-A42F-DDC6F49E2928}"/>
            </c:ext>
          </c:extLst>
        </c:ser>
        <c:ser>
          <c:idx val="3"/>
          <c:order val="3"/>
          <c:tx>
            <c:strRef>
              <c:f>'Race by District'!$B$14</c:f>
              <c:strCache>
                <c:ptCount val="1"/>
                <c:pt idx="0">
                  <c:v>Two or more races</c:v>
                </c:pt>
              </c:strCache>
            </c:strRef>
          </c:tx>
          <c:invertIfNegative val="0"/>
          <c:cat>
            <c:strRef>
              <c:f>'Race by District'!$AO$10:$AR$10</c:f>
              <c:strCache>
                <c:ptCount val="4"/>
                <c:pt idx="0">
                  <c:v>ISS Percent</c:v>
                </c:pt>
                <c:pt idx="1">
                  <c:v>OSS Percent</c:v>
                </c:pt>
                <c:pt idx="2">
                  <c:v>DAEP Percent</c:v>
                </c:pt>
                <c:pt idx="3">
                  <c:v>JJAEP Percent</c:v>
                </c:pt>
              </c:strCache>
            </c:strRef>
          </c:cat>
          <c:val>
            <c:numRef>
              <c:f>'Race by District'!$AO$14:$AR$14</c:f>
              <c:numCache>
                <c:formatCode>0.00%</c:formatCode>
                <c:ptCount val="4"/>
                <c:pt idx="0">
                  <c:v>2.6022304832713755E-2</c:v>
                </c:pt>
              </c:numCache>
            </c:numRef>
          </c:val>
          <c:extLst>
            <c:ext xmlns:c16="http://schemas.microsoft.com/office/drawing/2014/chart" uri="{C3380CC4-5D6E-409C-BE32-E72D297353CC}">
              <c16:uniqueId val="{00000003-03F3-467F-A42F-DDC6F49E2928}"/>
            </c:ext>
          </c:extLst>
        </c:ser>
        <c:ser>
          <c:idx val="4"/>
          <c:order val="4"/>
          <c:tx>
            <c:strRef>
              <c:f>'Race by District'!$B$15</c:f>
              <c:strCache>
                <c:ptCount val="1"/>
                <c:pt idx="0">
                  <c:v>White</c:v>
                </c:pt>
              </c:strCache>
            </c:strRef>
          </c:tx>
          <c:spPr>
            <a:solidFill>
              <a:schemeClr val="accent3"/>
            </a:solidFill>
          </c:spPr>
          <c:invertIfNegative val="0"/>
          <c:cat>
            <c:strRef>
              <c:f>'Race by District'!$AO$10:$AR$10</c:f>
              <c:strCache>
                <c:ptCount val="4"/>
                <c:pt idx="0">
                  <c:v>ISS Percent</c:v>
                </c:pt>
                <c:pt idx="1">
                  <c:v>OSS Percent</c:v>
                </c:pt>
                <c:pt idx="2">
                  <c:v>DAEP Percent</c:v>
                </c:pt>
                <c:pt idx="3">
                  <c:v>JJAEP Percent</c:v>
                </c:pt>
              </c:strCache>
            </c:strRef>
          </c:cat>
          <c:val>
            <c:numRef>
              <c:f>'Race by District'!$AO$15:$AR$15</c:f>
              <c:numCache>
                <c:formatCode>0.00%</c:formatCode>
                <c:ptCount val="4"/>
                <c:pt idx="0">
                  <c:v>2.9138000809388911E-2</c:v>
                </c:pt>
                <c:pt idx="1">
                  <c:v>7.824092809928504E-3</c:v>
                </c:pt>
                <c:pt idx="2">
                  <c:v>2.1583704303251047E-3</c:v>
                </c:pt>
              </c:numCache>
            </c:numRef>
          </c:val>
          <c:extLst>
            <c:ext xmlns:c16="http://schemas.microsoft.com/office/drawing/2014/chart" uri="{C3380CC4-5D6E-409C-BE32-E72D297353CC}">
              <c16:uniqueId val="{00000004-03F3-467F-A42F-DDC6F49E2928}"/>
            </c:ext>
          </c:extLst>
        </c:ser>
        <c:ser>
          <c:idx val="5"/>
          <c:order val="5"/>
          <c:tx>
            <c:strRef>
              <c:f>'Race by District'!$B$16</c:f>
              <c:strCache>
                <c:ptCount val="1"/>
                <c:pt idx="0">
                  <c:v>All Students</c:v>
                </c:pt>
              </c:strCache>
            </c:strRef>
          </c:tx>
          <c:spPr>
            <a:solidFill>
              <a:schemeClr val="tx1"/>
            </a:solidFill>
          </c:spPr>
          <c:invertIfNegative val="0"/>
          <c:cat>
            <c:strRef>
              <c:f>'Race by District'!$AO$10:$AR$10</c:f>
              <c:strCache>
                <c:ptCount val="4"/>
                <c:pt idx="0">
                  <c:v>ISS Percent</c:v>
                </c:pt>
                <c:pt idx="1">
                  <c:v>OSS Percent</c:v>
                </c:pt>
                <c:pt idx="2">
                  <c:v>DAEP Percent</c:v>
                </c:pt>
                <c:pt idx="3">
                  <c:v>JJAEP Percent</c:v>
                </c:pt>
              </c:strCache>
            </c:strRef>
          </c:cat>
          <c:val>
            <c:numRef>
              <c:f>'Race by District'!$AO$16:$AR$16</c:f>
              <c:numCache>
                <c:formatCode>0.00%</c:formatCode>
                <c:ptCount val="4"/>
                <c:pt idx="0">
                  <c:v>3.0999369198882579E-2</c:v>
                </c:pt>
                <c:pt idx="1">
                  <c:v>9.8224745426691903E-3</c:v>
                </c:pt>
                <c:pt idx="2">
                  <c:v>3.0638911417500223E-3</c:v>
                </c:pt>
                <c:pt idx="3">
                  <c:v>0</c:v>
                </c:pt>
              </c:numCache>
            </c:numRef>
          </c:val>
          <c:extLst>
            <c:ext xmlns:c16="http://schemas.microsoft.com/office/drawing/2014/chart" uri="{C3380CC4-5D6E-409C-BE32-E72D297353CC}">
              <c16:uniqueId val="{00000005-03F3-467F-A42F-DDC6F49E2928}"/>
            </c:ext>
          </c:extLst>
        </c:ser>
        <c:dLbls>
          <c:showLegendKey val="0"/>
          <c:showVal val="0"/>
          <c:showCatName val="0"/>
          <c:showSerName val="0"/>
          <c:showPercent val="0"/>
          <c:showBubbleSize val="0"/>
        </c:dLbls>
        <c:gapWidth val="150"/>
        <c:axId val="542043344"/>
        <c:axId val="1"/>
      </c:barChart>
      <c:catAx>
        <c:axId val="54204334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0.30000000000000004"/>
        </c:scaling>
        <c:delete val="0"/>
        <c:axPos val="l"/>
        <c:majorGridlines/>
        <c:numFmt formatCode="0.00%" sourceLinked="1"/>
        <c:majorTickMark val="out"/>
        <c:minorTickMark val="none"/>
        <c:tickLblPos val="nextTo"/>
        <c:crossAx val="542043344"/>
        <c:crosses val="autoZero"/>
        <c:crossBetween val="between"/>
      </c:valAx>
    </c:plotArea>
    <c:legend>
      <c:legendPos val="r"/>
      <c:layout>
        <c:manualLayout>
          <c:xMode val="edge"/>
          <c:yMode val="edge"/>
          <c:x val="0.67019716678473584"/>
          <c:y val="0.36318529272528349"/>
          <c:w val="0.31013638643537433"/>
          <c:h val="0.44527511916319007"/>
        </c:manualLayout>
      </c:layout>
      <c:overlay val="0"/>
    </c:legend>
    <c:plotVisOnly val="1"/>
    <c:dispBlanksAs val="gap"/>
    <c:showDLblsOverMax val="0"/>
  </c:chart>
  <c:spPr>
    <a:ln>
      <a:noFill/>
    </a:ln>
  </c:spPr>
  <c:txPr>
    <a:bodyPr/>
    <a:lstStyle/>
    <a:p>
      <a:pPr>
        <a:defRPr sz="1000" b="0">
          <a:latin typeface="Corbel" panose="020B0503020204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Disproprtionality Ratio,</a:t>
            </a:r>
          </a:p>
          <a:p>
            <a:pPr>
              <a:defRPr b="0"/>
            </a:pPr>
            <a:r>
              <a:rPr lang="en-US" b="0"/>
              <a:t>Lake Travis ISD, 2018-2019 School Year</a:t>
            </a:r>
          </a:p>
        </c:rich>
      </c:tx>
      <c:overlay val="0"/>
    </c:title>
    <c:autoTitleDeleted val="0"/>
    <c:plotArea>
      <c:layout/>
      <c:barChart>
        <c:barDir val="col"/>
        <c:grouping val="clustered"/>
        <c:varyColors val="0"/>
        <c:ser>
          <c:idx val="0"/>
          <c:order val="0"/>
          <c:tx>
            <c:strRef>
              <c:f>'Race by District'!$B$85</c:f>
              <c:strCache>
                <c:ptCount val="1"/>
                <c:pt idx="0">
                  <c:v>Asian</c:v>
                </c:pt>
              </c:strCache>
            </c:strRef>
          </c:tx>
          <c:spPr>
            <a:solidFill>
              <a:schemeClr val="accent6"/>
            </a:solidFill>
          </c:spPr>
          <c:invertIfNegative val="0"/>
          <c:cat>
            <c:strRef>
              <c:f>'Race by District'!$AP$84:$AR$84</c:f>
              <c:strCache>
                <c:ptCount val="3"/>
                <c:pt idx="0">
                  <c:v>ISS</c:v>
                </c:pt>
                <c:pt idx="1">
                  <c:v>OSS</c:v>
                </c:pt>
                <c:pt idx="2">
                  <c:v>DAEP</c:v>
                </c:pt>
              </c:strCache>
            </c:strRef>
          </c:cat>
          <c:val>
            <c:numRef>
              <c:f>'Race by District'!$AP$85:$AR$85</c:f>
              <c:numCache>
                <c:formatCode>0.00</c:formatCode>
                <c:ptCount val="3"/>
                <c:pt idx="0">
                  <c:v>0</c:v>
                </c:pt>
                <c:pt idx="1">
                  <c:v>0</c:v>
                </c:pt>
                <c:pt idx="2">
                  <c:v>0</c:v>
                </c:pt>
              </c:numCache>
            </c:numRef>
          </c:val>
          <c:extLst>
            <c:ext xmlns:c16="http://schemas.microsoft.com/office/drawing/2014/chart" uri="{C3380CC4-5D6E-409C-BE32-E72D297353CC}">
              <c16:uniqueId val="{00000000-244A-45FE-957F-F545DC5DA74D}"/>
            </c:ext>
          </c:extLst>
        </c:ser>
        <c:ser>
          <c:idx val="1"/>
          <c:order val="1"/>
          <c:tx>
            <c:strRef>
              <c:f>'Race by District'!$B$86</c:f>
              <c:strCache>
                <c:ptCount val="1"/>
                <c:pt idx="0">
                  <c:v>Black or African American</c:v>
                </c:pt>
              </c:strCache>
            </c:strRef>
          </c:tx>
          <c:spPr>
            <a:solidFill>
              <a:schemeClr val="accent1"/>
            </a:solidFill>
          </c:spPr>
          <c:invertIfNegative val="0"/>
          <c:cat>
            <c:strRef>
              <c:f>'Race by District'!$AP$84:$AR$84</c:f>
              <c:strCache>
                <c:ptCount val="3"/>
                <c:pt idx="0">
                  <c:v>ISS</c:v>
                </c:pt>
                <c:pt idx="1">
                  <c:v>OSS</c:v>
                </c:pt>
                <c:pt idx="2">
                  <c:v>DAEP</c:v>
                </c:pt>
              </c:strCache>
            </c:strRef>
          </c:cat>
          <c:val>
            <c:numRef>
              <c:f>'Race by District'!$AP$86:$AR$86</c:f>
              <c:numCache>
                <c:formatCode>0.00</c:formatCode>
                <c:ptCount val="3"/>
                <c:pt idx="0">
                  <c:v>2.1248259295362764</c:v>
                </c:pt>
                <c:pt idx="1">
                  <c:v>0</c:v>
                </c:pt>
                <c:pt idx="2">
                  <c:v>0</c:v>
                </c:pt>
              </c:numCache>
            </c:numRef>
          </c:val>
          <c:extLst>
            <c:ext xmlns:c16="http://schemas.microsoft.com/office/drawing/2014/chart" uri="{C3380CC4-5D6E-409C-BE32-E72D297353CC}">
              <c16:uniqueId val="{00000001-244A-45FE-957F-F545DC5DA74D}"/>
            </c:ext>
          </c:extLst>
        </c:ser>
        <c:ser>
          <c:idx val="2"/>
          <c:order val="2"/>
          <c:tx>
            <c:strRef>
              <c:f>'Race by District'!$B$87</c:f>
              <c:strCache>
                <c:ptCount val="1"/>
                <c:pt idx="0">
                  <c:v>Hispanic/ Latino</c:v>
                </c:pt>
              </c:strCache>
            </c:strRef>
          </c:tx>
          <c:spPr>
            <a:solidFill>
              <a:schemeClr val="accent2"/>
            </a:solidFill>
          </c:spPr>
          <c:invertIfNegative val="0"/>
          <c:cat>
            <c:strRef>
              <c:f>'Race by District'!$AP$84:$AR$84</c:f>
              <c:strCache>
                <c:ptCount val="3"/>
                <c:pt idx="0">
                  <c:v>ISS</c:v>
                </c:pt>
                <c:pt idx="1">
                  <c:v>OSS</c:v>
                </c:pt>
                <c:pt idx="2">
                  <c:v>DAEP</c:v>
                </c:pt>
              </c:strCache>
            </c:strRef>
          </c:cat>
          <c:val>
            <c:numRef>
              <c:f>'Race by District'!$AP$87:$AR$87</c:f>
              <c:numCache>
                <c:formatCode>0.00</c:formatCode>
                <c:ptCount val="3"/>
                <c:pt idx="0">
                  <c:v>1.3857820771623375</c:v>
                </c:pt>
                <c:pt idx="1">
                  <c:v>1.7133210359090207</c:v>
                </c:pt>
                <c:pt idx="2">
                  <c:v>1.7345386338769344</c:v>
                </c:pt>
              </c:numCache>
            </c:numRef>
          </c:val>
          <c:extLst>
            <c:ext xmlns:c16="http://schemas.microsoft.com/office/drawing/2014/chart" uri="{C3380CC4-5D6E-409C-BE32-E72D297353CC}">
              <c16:uniqueId val="{00000002-244A-45FE-957F-F545DC5DA74D}"/>
            </c:ext>
          </c:extLst>
        </c:ser>
        <c:ser>
          <c:idx val="3"/>
          <c:order val="3"/>
          <c:tx>
            <c:strRef>
              <c:f>'Race by District'!$B$88</c:f>
              <c:strCache>
                <c:ptCount val="1"/>
                <c:pt idx="0">
                  <c:v>Two or more races</c:v>
                </c:pt>
              </c:strCache>
            </c:strRef>
          </c:tx>
          <c:spPr>
            <a:solidFill>
              <a:schemeClr val="accent4"/>
            </a:solidFill>
          </c:spPr>
          <c:invertIfNegative val="0"/>
          <c:cat>
            <c:strRef>
              <c:f>'Race by District'!$AP$84:$AR$84</c:f>
              <c:strCache>
                <c:ptCount val="3"/>
                <c:pt idx="0">
                  <c:v>ISS</c:v>
                </c:pt>
                <c:pt idx="1">
                  <c:v>OSS</c:v>
                </c:pt>
                <c:pt idx="2">
                  <c:v>DAEP</c:v>
                </c:pt>
              </c:strCache>
            </c:strRef>
          </c:cat>
          <c:val>
            <c:numRef>
              <c:f>'Race by District'!$AP$88:$AR$88</c:f>
              <c:numCache>
                <c:formatCode>0.00</c:formatCode>
                <c:ptCount val="3"/>
                <c:pt idx="0">
                  <c:v>0.83944626955995505</c:v>
                </c:pt>
                <c:pt idx="1">
                  <c:v>0</c:v>
                </c:pt>
                <c:pt idx="2">
                  <c:v>0</c:v>
                </c:pt>
              </c:numCache>
            </c:numRef>
          </c:val>
          <c:extLst>
            <c:ext xmlns:c16="http://schemas.microsoft.com/office/drawing/2014/chart" uri="{C3380CC4-5D6E-409C-BE32-E72D297353CC}">
              <c16:uniqueId val="{00000003-244A-45FE-957F-F545DC5DA74D}"/>
            </c:ext>
          </c:extLst>
        </c:ser>
        <c:ser>
          <c:idx val="4"/>
          <c:order val="4"/>
          <c:tx>
            <c:strRef>
              <c:f>'Race by District'!$B$89</c:f>
              <c:strCache>
                <c:ptCount val="1"/>
                <c:pt idx="0">
                  <c:v>White</c:v>
                </c:pt>
              </c:strCache>
            </c:strRef>
          </c:tx>
          <c:spPr>
            <a:solidFill>
              <a:schemeClr val="accent3"/>
            </a:solidFill>
          </c:spPr>
          <c:invertIfNegative val="0"/>
          <c:cat>
            <c:strRef>
              <c:f>'Race by District'!$AP$84:$AR$84</c:f>
              <c:strCache>
                <c:ptCount val="3"/>
                <c:pt idx="0">
                  <c:v>ISS</c:v>
                </c:pt>
                <c:pt idx="1">
                  <c:v>OSS</c:v>
                </c:pt>
                <c:pt idx="2">
                  <c:v>DAEP</c:v>
                </c:pt>
              </c:strCache>
            </c:strRef>
          </c:cat>
          <c:val>
            <c:numRef>
              <c:f>'Race by District'!$AP$89:$AR$89</c:f>
              <c:numCache>
                <c:formatCode>0.00</c:formatCode>
                <c:ptCount val="3"/>
                <c:pt idx="0">
                  <c:v>0.93995463657496736</c:v>
                </c:pt>
                <c:pt idx="1">
                  <c:v>0.79655007258510657</c:v>
                </c:pt>
                <c:pt idx="2">
                  <c:v>0.70445401956816722</c:v>
                </c:pt>
              </c:numCache>
            </c:numRef>
          </c:val>
          <c:extLst>
            <c:ext xmlns:c16="http://schemas.microsoft.com/office/drawing/2014/chart" uri="{C3380CC4-5D6E-409C-BE32-E72D297353CC}">
              <c16:uniqueId val="{00000004-244A-45FE-957F-F545DC5DA74D}"/>
            </c:ext>
          </c:extLst>
        </c:ser>
        <c:dLbls>
          <c:showLegendKey val="0"/>
          <c:showVal val="0"/>
          <c:showCatName val="0"/>
          <c:showSerName val="0"/>
          <c:showPercent val="0"/>
          <c:showBubbleSize val="0"/>
        </c:dLbls>
        <c:gapWidth val="150"/>
        <c:axId val="542041744"/>
        <c:axId val="1"/>
      </c:barChart>
      <c:catAx>
        <c:axId val="54204174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3"/>
        </c:scaling>
        <c:delete val="0"/>
        <c:axPos val="l"/>
        <c:majorGridlines/>
        <c:numFmt formatCode="0.00" sourceLinked="1"/>
        <c:majorTickMark val="out"/>
        <c:minorTickMark val="none"/>
        <c:tickLblPos val="nextTo"/>
        <c:crossAx val="542041744"/>
        <c:crosses val="autoZero"/>
        <c:crossBetween val="between"/>
        <c:majorUnit val="0.5"/>
      </c:valAx>
    </c:plotArea>
    <c:legend>
      <c:legendPos val="r"/>
      <c:layout>
        <c:manualLayout>
          <c:xMode val="edge"/>
          <c:yMode val="edge"/>
          <c:x val="0.64715472845001609"/>
          <c:y val="0.39678452992748081"/>
          <c:w val="0.33333346565892791"/>
          <c:h val="0.39946550648104484"/>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Disproprtionality Ratio,</a:t>
            </a:r>
          </a:p>
          <a:p>
            <a:pPr>
              <a:defRPr b="0"/>
            </a:pPr>
            <a:r>
              <a:rPr lang="en-US" b="0"/>
              <a:t>Leander</a:t>
            </a:r>
            <a:r>
              <a:rPr lang="en-US" b="0" baseline="0"/>
              <a:t> </a:t>
            </a:r>
            <a:r>
              <a:rPr lang="en-US" b="0"/>
              <a:t>ISD, 2018-2019 School Year</a:t>
            </a:r>
          </a:p>
        </c:rich>
      </c:tx>
      <c:overlay val="0"/>
    </c:title>
    <c:autoTitleDeleted val="0"/>
    <c:plotArea>
      <c:layout/>
      <c:barChart>
        <c:barDir val="col"/>
        <c:grouping val="clustered"/>
        <c:varyColors val="0"/>
        <c:ser>
          <c:idx val="0"/>
          <c:order val="0"/>
          <c:tx>
            <c:strRef>
              <c:f>'Race by District'!$B$85</c:f>
              <c:strCache>
                <c:ptCount val="1"/>
                <c:pt idx="0">
                  <c:v>Asian</c:v>
                </c:pt>
              </c:strCache>
            </c:strRef>
          </c:tx>
          <c:spPr>
            <a:solidFill>
              <a:schemeClr val="accent6"/>
            </a:solidFill>
          </c:spPr>
          <c:invertIfNegative val="0"/>
          <c:cat>
            <c:strRef>
              <c:f>'Race by District'!$Y$84:$AA$84</c:f>
              <c:strCache>
                <c:ptCount val="3"/>
                <c:pt idx="0">
                  <c:v>ISS</c:v>
                </c:pt>
                <c:pt idx="1">
                  <c:v>OSS</c:v>
                </c:pt>
                <c:pt idx="2">
                  <c:v>DAEP</c:v>
                </c:pt>
              </c:strCache>
            </c:strRef>
          </c:cat>
          <c:val>
            <c:numRef>
              <c:f>'Race by District'!$Y$85:$AA$85</c:f>
              <c:numCache>
                <c:formatCode>0.00</c:formatCode>
                <c:ptCount val="3"/>
                <c:pt idx="0">
                  <c:v>0.2452840728556106</c:v>
                </c:pt>
                <c:pt idx="1">
                  <c:v>0</c:v>
                </c:pt>
                <c:pt idx="2">
                  <c:v>0</c:v>
                </c:pt>
              </c:numCache>
            </c:numRef>
          </c:val>
          <c:extLst>
            <c:ext xmlns:c16="http://schemas.microsoft.com/office/drawing/2014/chart" uri="{C3380CC4-5D6E-409C-BE32-E72D297353CC}">
              <c16:uniqueId val="{00000000-5A9A-46E4-8D50-4FE2331F733F}"/>
            </c:ext>
          </c:extLst>
        </c:ser>
        <c:ser>
          <c:idx val="1"/>
          <c:order val="1"/>
          <c:tx>
            <c:strRef>
              <c:f>'Race by District'!$B$86</c:f>
              <c:strCache>
                <c:ptCount val="1"/>
                <c:pt idx="0">
                  <c:v>Black or African American</c:v>
                </c:pt>
              </c:strCache>
            </c:strRef>
          </c:tx>
          <c:spPr>
            <a:solidFill>
              <a:schemeClr val="accent1"/>
            </a:solidFill>
          </c:spPr>
          <c:invertIfNegative val="0"/>
          <c:cat>
            <c:strRef>
              <c:f>'Race by District'!$Y$84:$AA$84</c:f>
              <c:strCache>
                <c:ptCount val="3"/>
                <c:pt idx="0">
                  <c:v>ISS</c:v>
                </c:pt>
                <c:pt idx="1">
                  <c:v>OSS</c:v>
                </c:pt>
                <c:pt idx="2">
                  <c:v>DAEP</c:v>
                </c:pt>
              </c:strCache>
            </c:strRef>
          </c:cat>
          <c:val>
            <c:numRef>
              <c:f>'Race by District'!$Y$86:$AA$86</c:f>
              <c:numCache>
                <c:formatCode>0.00</c:formatCode>
                <c:ptCount val="3"/>
                <c:pt idx="0">
                  <c:v>2.1647895557015762</c:v>
                </c:pt>
                <c:pt idx="1">
                  <c:v>3.8430728613284391</c:v>
                </c:pt>
                <c:pt idx="2">
                  <c:v>2.430483917705013</c:v>
                </c:pt>
              </c:numCache>
            </c:numRef>
          </c:val>
          <c:extLst>
            <c:ext xmlns:c16="http://schemas.microsoft.com/office/drawing/2014/chart" uri="{C3380CC4-5D6E-409C-BE32-E72D297353CC}">
              <c16:uniqueId val="{00000001-5A9A-46E4-8D50-4FE2331F733F}"/>
            </c:ext>
          </c:extLst>
        </c:ser>
        <c:ser>
          <c:idx val="2"/>
          <c:order val="2"/>
          <c:tx>
            <c:strRef>
              <c:f>'Race by District'!$B$87</c:f>
              <c:strCache>
                <c:ptCount val="1"/>
                <c:pt idx="0">
                  <c:v>Hispanic/ Latino</c:v>
                </c:pt>
              </c:strCache>
            </c:strRef>
          </c:tx>
          <c:spPr>
            <a:solidFill>
              <a:schemeClr val="accent2"/>
            </a:solidFill>
          </c:spPr>
          <c:invertIfNegative val="0"/>
          <c:cat>
            <c:strRef>
              <c:f>'Race by District'!$Y$84:$AA$84</c:f>
              <c:strCache>
                <c:ptCount val="3"/>
                <c:pt idx="0">
                  <c:v>ISS</c:v>
                </c:pt>
                <c:pt idx="1">
                  <c:v>OSS</c:v>
                </c:pt>
                <c:pt idx="2">
                  <c:v>DAEP</c:v>
                </c:pt>
              </c:strCache>
            </c:strRef>
          </c:cat>
          <c:val>
            <c:numRef>
              <c:f>'Race by District'!$Y$87:$AA$87</c:f>
              <c:numCache>
                <c:formatCode>0.00</c:formatCode>
                <c:ptCount val="3"/>
                <c:pt idx="0">
                  <c:v>1.154611101509958</c:v>
                </c:pt>
                <c:pt idx="1">
                  <c:v>1.2350622529697552</c:v>
                </c:pt>
                <c:pt idx="2">
                  <c:v>1.1849639531309819</c:v>
                </c:pt>
              </c:numCache>
            </c:numRef>
          </c:val>
          <c:extLst>
            <c:ext xmlns:c16="http://schemas.microsoft.com/office/drawing/2014/chart" uri="{C3380CC4-5D6E-409C-BE32-E72D297353CC}">
              <c16:uniqueId val="{00000002-5A9A-46E4-8D50-4FE2331F733F}"/>
            </c:ext>
          </c:extLst>
        </c:ser>
        <c:ser>
          <c:idx val="3"/>
          <c:order val="3"/>
          <c:tx>
            <c:strRef>
              <c:f>'Race by District'!$B$88</c:f>
              <c:strCache>
                <c:ptCount val="1"/>
                <c:pt idx="0">
                  <c:v>Two or more races</c:v>
                </c:pt>
              </c:strCache>
            </c:strRef>
          </c:tx>
          <c:spPr>
            <a:solidFill>
              <a:schemeClr val="accent4"/>
            </a:solidFill>
          </c:spPr>
          <c:invertIfNegative val="0"/>
          <c:cat>
            <c:strRef>
              <c:f>'Race by District'!$Y$84:$AA$84</c:f>
              <c:strCache>
                <c:ptCount val="3"/>
                <c:pt idx="0">
                  <c:v>ISS</c:v>
                </c:pt>
                <c:pt idx="1">
                  <c:v>OSS</c:v>
                </c:pt>
                <c:pt idx="2">
                  <c:v>DAEP</c:v>
                </c:pt>
              </c:strCache>
            </c:strRef>
          </c:cat>
          <c:val>
            <c:numRef>
              <c:f>'Race by District'!$Y$88:$AA$88</c:f>
              <c:numCache>
                <c:formatCode>0.00</c:formatCode>
                <c:ptCount val="3"/>
                <c:pt idx="0">
                  <c:v>0.93164319175637011</c:v>
                </c:pt>
                <c:pt idx="1">
                  <c:v>0.95752833243389091</c:v>
                </c:pt>
                <c:pt idx="2">
                  <c:v>0.95056449001618992</c:v>
                </c:pt>
              </c:numCache>
            </c:numRef>
          </c:val>
          <c:extLst>
            <c:ext xmlns:c16="http://schemas.microsoft.com/office/drawing/2014/chart" uri="{C3380CC4-5D6E-409C-BE32-E72D297353CC}">
              <c16:uniqueId val="{00000003-5A9A-46E4-8D50-4FE2331F733F}"/>
            </c:ext>
          </c:extLst>
        </c:ser>
        <c:ser>
          <c:idx val="4"/>
          <c:order val="4"/>
          <c:tx>
            <c:strRef>
              <c:f>'Race by District'!$B$89</c:f>
              <c:strCache>
                <c:ptCount val="1"/>
                <c:pt idx="0">
                  <c:v>White</c:v>
                </c:pt>
              </c:strCache>
            </c:strRef>
          </c:tx>
          <c:spPr>
            <a:solidFill>
              <a:schemeClr val="accent3"/>
            </a:solidFill>
          </c:spPr>
          <c:invertIfNegative val="0"/>
          <c:cat>
            <c:strRef>
              <c:f>'Race by District'!$Y$84:$AA$84</c:f>
              <c:strCache>
                <c:ptCount val="3"/>
                <c:pt idx="0">
                  <c:v>ISS</c:v>
                </c:pt>
                <c:pt idx="1">
                  <c:v>OSS</c:v>
                </c:pt>
                <c:pt idx="2">
                  <c:v>DAEP</c:v>
                </c:pt>
              </c:strCache>
            </c:strRef>
          </c:cat>
          <c:val>
            <c:numRef>
              <c:f>'Race by District'!$Y$89:$AA$89</c:f>
              <c:numCache>
                <c:formatCode>0.00</c:formatCode>
                <c:ptCount val="3"/>
                <c:pt idx="0">
                  <c:v>0.95903858073911807</c:v>
                </c:pt>
                <c:pt idx="1">
                  <c:v>0.7983232958347537</c:v>
                </c:pt>
                <c:pt idx="2">
                  <c:v>0.93192025554587588</c:v>
                </c:pt>
              </c:numCache>
            </c:numRef>
          </c:val>
          <c:extLst>
            <c:ext xmlns:c16="http://schemas.microsoft.com/office/drawing/2014/chart" uri="{C3380CC4-5D6E-409C-BE32-E72D297353CC}">
              <c16:uniqueId val="{00000004-5A9A-46E4-8D50-4FE2331F733F}"/>
            </c:ext>
          </c:extLst>
        </c:ser>
        <c:dLbls>
          <c:showLegendKey val="0"/>
          <c:showVal val="0"/>
          <c:showCatName val="0"/>
          <c:showSerName val="0"/>
          <c:showPercent val="0"/>
          <c:showBubbleSize val="0"/>
        </c:dLbls>
        <c:gapWidth val="150"/>
        <c:axId val="542045264"/>
        <c:axId val="1"/>
      </c:barChart>
      <c:catAx>
        <c:axId val="54204526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
        </c:scaling>
        <c:delete val="0"/>
        <c:axPos val="l"/>
        <c:majorGridlines/>
        <c:numFmt formatCode="0.00" sourceLinked="1"/>
        <c:majorTickMark val="out"/>
        <c:minorTickMark val="none"/>
        <c:tickLblPos val="nextTo"/>
        <c:crossAx val="542045264"/>
        <c:crosses val="autoZero"/>
        <c:crossBetween val="between"/>
        <c:majorUnit val="0.5"/>
      </c:valAx>
    </c:plotArea>
    <c:legend>
      <c:legendPos val="r"/>
      <c:layout>
        <c:manualLayout>
          <c:xMode val="edge"/>
          <c:yMode val="edge"/>
          <c:x val="0.64715472845001609"/>
          <c:y val="0.39678452992748081"/>
          <c:w val="0.33333346565892791"/>
          <c:h val="0.39946550648104484"/>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Students Subject to School Disciplinary Action,</a:t>
            </a:r>
          </a:p>
          <a:p>
            <a:pPr>
              <a:defRPr/>
            </a:pPr>
            <a:r>
              <a:rPr lang="en-US"/>
              <a:t>Leander</a:t>
            </a:r>
            <a:r>
              <a:rPr lang="en-US" baseline="0"/>
              <a:t> </a:t>
            </a:r>
            <a:r>
              <a:rPr lang="en-US"/>
              <a:t>ISD, 2018-2019 School Year</a:t>
            </a:r>
          </a:p>
        </c:rich>
      </c:tx>
      <c:overlay val="0"/>
    </c:title>
    <c:autoTitleDeleted val="0"/>
    <c:plotArea>
      <c:layout/>
      <c:barChart>
        <c:barDir val="col"/>
        <c:grouping val="clustered"/>
        <c:varyColors val="0"/>
        <c:ser>
          <c:idx val="0"/>
          <c:order val="0"/>
          <c:tx>
            <c:strRef>
              <c:f>'Race by District'!$B$11</c:f>
              <c:strCache>
                <c:ptCount val="1"/>
                <c:pt idx="0">
                  <c:v>Asian</c:v>
                </c:pt>
              </c:strCache>
            </c:strRef>
          </c:tx>
          <c:spPr>
            <a:solidFill>
              <a:schemeClr val="accent6"/>
            </a:solidFill>
          </c:spPr>
          <c:invertIfNegative val="0"/>
          <c:cat>
            <c:strRef>
              <c:f>'Race by District'!$X$10:$AA$10</c:f>
              <c:strCache>
                <c:ptCount val="4"/>
                <c:pt idx="0">
                  <c:v>ISS Percent</c:v>
                </c:pt>
                <c:pt idx="1">
                  <c:v>OSS Percent</c:v>
                </c:pt>
                <c:pt idx="2">
                  <c:v>DAEP Percent</c:v>
                </c:pt>
                <c:pt idx="3">
                  <c:v>JJAEP Percent</c:v>
                </c:pt>
              </c:strCache>
            </c:strRef>
          </c:cat>
          <c:val>
            <c:numRef>
              <c:f>'Race by District'!$X$11:$AA$11</c:f>
              <c:numCache>
                <c:formatCode>0.00%</c:formatCode>
                <c:ptCount val="4"/>
                <c:pt idx="0">
                  <c:v>1.3767912334925541E-2</c:v>
                </c:pt>
              </c:numCache>
            </c:numRef>
          </c:val>
          <c:extLst>
            <c:ext xmlns:c16="http://schemas.microsoft.com/office/drawing/2014/chart" uri="{C3380CC4-5D6E-409C-BE32-E72D297353CC}">
              <c16:uniqueId val="{00000000-5ED6-4A99-8074-FA8906F2E8D0}"/>
            </c:ext>
          </c:extLst>
        </c:ser>
        <c:ser>
          <c:idx val="1"/>
          <c:order val="1"/>
          <c:tx>
            <c:strRef>
              <c:f>'Race by District'!$B$12</c:f>
              <c:strCache>
                <c:ptCount val="1"/>
                <c:pt idx="0">
                  <c:v>Black or African American</c:v>
                </c:pt>
              </c:strCache>
            </c:strRef>
          </c:tx>
          <c:spPr>
            <a:solidFill>
              <a:schemeClr val="accent1"/>
            </a:solidFill>
          </c:spPr>
          <c:invertIfNegative val="0"/>
          <c:cat>
            <c:strRef>
              <c:f>'Race by District'!$X$10:$AA$10</c:f>
              <c:strCache>
                <c:ptCount val="4"/>
                <c:pt idx="0">
                  <c:v>ISS Percent</c:v>
                </c:pt>
                <c:pt idx="1">
                  <c:v>OSS Percent</c:v>
                </c:pt>
                <c:pt idx="2">
                  <c:v>DAEP Percent</c:v>
                </c:pt>
                <c:pt idx="3">
                  <c:v>JJAEP Percent</c:v>
                </c:pt>
              </c:strCache>
            </c:strRef>
          </c:cat>
          <c:val>
            <c:numRef>
              <c:f>'Race by District'!$X$12:$AA$12</c:f>
              <c:numCache>
                <c:formatCode>0.00%</c:formatCode>
                <c:ptCount val="4"/>
                <c:pt idx="0">
                  <c:v>0.12151067323481117</c:v>
                </c:pt>
                <c:pt idx="1">
                  <c:v>2.0251778872468526E-2</c:v>
                </c:pt>
                <c:pt idx="2">
                  <c:v>2.4630541871921183E-2</c:v>
                </c:pt>
              </c:numCache>
            </c:numRef>
          </c:val>
          <c:extLst>
            <c:ext xmlns:c16="http://schemas.microsoft.com/office/drawing/2014/chart" uri="{C3380CC4-5D6E-409C-BE32-E72D297353CC}">
              <c16:uniqueId val="{00000001-5ED6-4A99-8074-FA8906F2E8D0}"/>
            </c:ext>
          </c:extLst>
        </c:ser>
        <c:ser>
          <c:idx val="2"/>
          <c:order val="2"/>
          <c:tx>
            <c:strRef>
              <c:f>'Race by District'!$B$13</c:f>
              <c:strCache>
                <c:ptCount val="1"/>
                <c:pt idx="0">
                  <c:v>Hispanic/ Latino</c:v>
                </c:pt>
              </c:strCache>
            </c:strRef>
          </c:tx>
          <c:spPr>
            <a:solidFill>
              <a:schemeClr val="accent2"/>
            </a:solidFill>
          </c:spPr>
          <c:invertIfNegative val="0"/>
          <c:cat>
            <c:strRef>
              <c:f>'Race by District'!$X$10:$AA$10</c:f>
              <c:strCache>
                <c:ptCount val="4"/>
                <c:pt idx="0">
                  <c:v>ISS Percent</c:v>
                </c:pt>
                <c:pt idx="1">
                  <c:v>OSS Percent</c:v>
                </c:pt>
                <c:pt idx="2">
                  <c:v>DAEP Percent</c:v>
                </c:pt>
                <c:pt idx="3">
                  <c:v>JJAEP Percent</c:v>
                </c:pt>
              </c:strCache>
            </c:strRef>
          </c:cat>
          <c:val>
            <c:numRef>
              <c:f>'Race by District'!$X$13:$AA$13</c:f>
              <c:numCache>
                <c:formatCode>0.00%</c:formatCode>
                <c:ptCount val="4"/>
                <c:pt idx="0">
                  <c:v>6.4808873407278395E-2</c:v>
                </c:pt>
                <c:pt idx="1">
                  <c:v>6.5083875698964157E-3</c:v>
                </c:pt>
                <c:pt idx="2">
                  <c:v>1.2008433403611697E-2</c:v>
                </c:pt>
              </c:numCache>
            </c:numRef>
          </c:val>
          <c:extLst>
            <c:ext xmlns:c16="http://schemas.microsoft.com/office/drawing/2014/chart" uri="{C3380CC4-5D6E-409C-BE32-E72D297353CC}">
              <c16:uniqueId val="{00000002-5ED6-4A99-8074-FA8906F2E8D0}"/>
            </c:ext>
          </c:extLst>
        </c:ser>
        <c:ser>
          <c:idx val="3"/>
          <c:order val="3"/>
          <c:tx>
            <c:strRef>
              <c:f>'Race by District'!$B$14</c:f>
              <c:strCache>
                <c:ptCount val="1"/>
                <c:pt idx="0">
                  <c:v>Two or more races</c:v>
                </c:pt>
              </c:strCache>
            </c:strRef>
          </c:tx>
          <c:invertIfNegative val="0"/>
          <c:cat>
            <c:strRef>
              <c:f>'Race by District'!$X$10:$AA$10</c:f>
              <c:strCache>
                <c:ptCount val="4"/>
                <c:pt idx="0">
                  <c:v>ISS Percent</c:v>
                </c:pt>
                <c:pt idx="1">
                  <c:v>OSS Percent</c:v>
                </c:pt>
                <c:pt idx="2">
                  <c:v>DAEP Percent</c:v>
                </c:pt>
                <c:pt idx="3">
                  <c:v>JJAEP Percent</c:v>
                </c:pt>
              </c:strCache>
            </c:strRef>
          </c:cat>
          <c:val>
            <c:numRef>
              <c:f>'Race by District'!$X$14:$AA$14</c:f>
              <c:numCache>
                <c:formatCode>0.00%</c:formatCode>
                <c:ptCount val="4"/>
                <c:pt idx="0">
                  <c:v>5.2293577981651379E-2</c:v>
                </c:pt>
                <c:pt idx="1">
                  <c:v>5.0458715596330278E-3</c:v>
                </c:pt>
                <c:pt idx="2">
                  <c:v>9.6330275229357804E-3</c:v>
                </c:pt>
              </c:numCache>
            </c:numRef>
          </c:val>
          <c:extLst>
            <c:ext xmlns:c16="http://schemas.microsoft.com/office/drawing/2014/chart" uri="{C3380CC4-5D6E-409C-BE32-E72D297353CC}">
              <c16:uniqueId val="{00000003-5ED6-4A99-8074-FA8906F2E8D0}"/>
            </c:ext>
          </c:extLst>
        </c:ser>
        <c:ser>
          <c:idx val="4"/>
          <c:order val="4"/>
          <c:tx>
            <c:strRef>
              <c:f>'Race by District'!$B$15</c:f>
              <c:strCache>
                <c:ptCount val="1"/>
                <c:pt idx="0">
                  <c:v>White</c:v>
                </c:pt>
              </c:strCache>
            </c:strRef>
          </c:tx>
          <c:spPr>
            <a:solidFill>
              <a:schemeClr val="accent3"/>
            </a:solidFill>
          </c:spPr>
          <c:invertIfNegative val="0"/>
          <c:cat>
            <c:strRef>
              <c:f>'Race by District'!$X$10:$AA$10</c:f>
              <c:strCache>
                <c:ptCount val="4"/>
                <c:pt idx="0">
                  <c:v>ISS Percent</c:v>
                </c:pt>
                <c:pt idx="1">
                  <c:v>OSS Percent</c:v>
                </c:pt>
                <c:pt idx="2">
                  <c:v>DAEP Percent</c:v>
                </c:pt>
                <c:pt idx="3">
                  <c:v>JJAEP Percent</c:v>
                </c:pt>
              </c:strCache>
            </c:strRef>
          </c:cat>
          <c:val>
            <c:numRef>
              <c:f>'Race by District'!$X$15:$AA$15</c:f>
              <c:numCache>
                <c:formatCode>0.00%</c:formatCode>
                <c:ptCount val="4"/>
                <c:pt idx="0">
                  <c:v>5.383129426915647E-2</c:v>
                </c:pt>
                <c:pt idx="1">
                  <c:v>4.2069113543678899E-3</c:v>
                </c:pt>
                <c:pt idx="2">
                  <c:v>9.4440867138870996E-3</c:v>
                </c:pt>
              </c:numCache>
            </c:numRef>
          </c:val>
          <c:extLst>
            <c:ext xmlns:c16="http://schemas.microsoft.com/office/drawing/2014/chart" uri="{C3380CC4-5D6E-409C-BE32-E72D297353CC}">
              <c16:uniqueId val="{00000004-5ED6-4A99-8074-FA8906F2E8D0}"/>
            </c:ext>
          </c:extLst>
        </c:ser>
        <c:ser>
          <c:idx val="5"/>
          <c:order val="5"/>
          <c:tx>
            <c:strRef>
              <c:f>'Race by District'!$B$16</c:f>
              <c:strCache>
                <c:ptCount val="1"/>
                <c:pt idx="0">
                  <c:v>All Students</c:v>
                </c:pt>
              </c:strCache>
            </c:strRef>
          </c:tx>
          <c:spPr>
            <a:solidFill>
              <a:schemeClr val="tx1"/>
            </a:solidFill>
          </c:spPr>
          <c:invertIfNegative val="0"/>
          <c:cat>
            <c:strRef>
              <c:f>'Race by District'!$X$10:$AA$10</c:f>
              <c:strCache>
                <c:ptCount val="4"/>
                <c:pt idx="0">
                  <c:v>ISS Percent</c:v>
                </c:pt>
                <c:pt idx="1">
                  <c:v>OSS Percent</c:v>
                </c:pt>
                <c:pt idx="2">
                  <c:v>DAEP Percent</c:v>
                </c:pt>
                <c:pt idx="3">
                  <c:v>JJAEP Percent</c:v>
                </c:pt>
              </c:strCache>
            </c:strRef>
          </c:cat>
          <c:val>
            <c:numRef>
              <c:f>'Race by District'!$X$16:$AA$16</c:f>
              <c:numCache>
                <c:formatCode>0.00%</c:formatCode>
                <c:ptCount val="4"/>
                <c:pt idx="0">
                  <c:v>5.6130478325146643E-2</c:v>
                </c:pt>
                <c:pt idx="1">
                  <c:v>5.2696838189708614E-3</c:v>
                </c:pt>
                <c:pt idx="2">
                  <c:v>1.0134007344174734E-2</c:v>
                </c:pt>
                <c:pt idx="3">
                  <c:v>5.0073918641804565E-4</c:v>
                </c:pt>
              </c:numCache>
            </c:numRef>
          </c:val>
          <c:extLst>
            <c:ext xmlns:c16="http://schemas.microsoft.com/office/drawing/2014/chart" uri="{C3380CC4-5D6E-409C-BE32-E72D297353CC}">
              <c16:uniqueId val="{00000005-5ED6-4A99-8074-FA8906F2E8D0}"/>
            </c:ext>
          </c:extLst>
        </c:ser>
        <c:dLbls>
          <c:showLegendKey val="0"/>
          <c:showVal val="0"/>
          <c:showCatName val="0"/>
          <c:showSerName val="0"/>
          <c:showPercent val="0"/>
          <c:showBubbleSize val="0"/>
        </c:dLbls>
        <c:gapWidth val="150"/>
        <c:axId val="542047824"/>
        <c:axId val="1"/>
      </c:barChart>
      <c:catAx>
        <c:axId val="54204782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0.30000000000000004"/>
        </c:scaling>
        <c:delete val="0"/>
        <c:axPos val="l"/>
        <c:majorGridlines/>
        <c:numFmt formatCode="0.00%" sourceLinked="1"/>
        <c:majorTickMark val="out"/>
        <c:minorTickMark val="none"/>
        <c:tickLblPos val="nextTo"/>
        <c:crossAx val="542047824"/>
        <c:crosses val="autoZero"/>
        <c:crossBetween val="between"/>
      </c:valAx>
    </c:plotArea>
    <c:legend>
      <c:legendPos val="r"/>
      <c:layout>
        <c:manualLayout>
          <c:xMode val="edge"/>
          <c:yMode val="edge"/>
          <c:x val="0.66818206534907121"/>
          <c:y val="0.36318529272528349"/>
          <c:w val="0.31060617550240277"/>
          <c:h val="0.44527511916319007"/>
        </c:manualLayout>
      </c:layout>
      <c:overlay val="0"/>
    </c:legend>
    <c:plotVisOnly val="1"/>
    <c:dispBlanksAs val="gap"/>
    <c:showDLblsOverMax val="0"/>
  </c:chart>
  <c:spPr>
    <a:ln>
      <a:noFill/>
    </a:ln>
  </c:spPr>
  <c:txPr>
    <a:bodyPr/>
    <a:lstStyle/>
    <a:p>
      <a:pPr>
        <a:defRPr sz="1000" b="0">
          <a:latin typeface="Corbel" panose="020B0503020204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AISD In School Suspension</a:t>
            </a:r>
            <a:r>
              <a:rPr lang="en-US" b="0" baseline="0"/>
              <a:t>s,</a:t>
            </a:r>
            <a:endParaRPr lang="en-US" b="0"/>
          </a:p>
          <a:p>
            <a:pPr>
              <a:defRPr b="0"/>
            </a:pPr>
            <a:r>
              <a:rPr lang="en-US" b="0"/>
              <a:t> Percent of Students by Race </a:t>
            </a:r>
          </a:p>
        </c:rich>
      </c:tx>
      <c:overlay val="0"/>
    </c:title>
    <c:autoTitleDeleted val="0"/>
    <c:plotArea>
      <c:layout/>
      <c:barChart>
        <c:barDir val="col"/>
        <c:grouping val="clustered"/>
        <c:varyColors val="0"/>
        <c:ser>
          <c:idx val="0"/>
          <c:order val="0"/>
          <c:tx>
            <c:strRef>
              <c:f>'ISS Trends'!$C$6</c:f>
              <c:strCache>
                <c:ptCount val="1"/>
                <c:pt idx="0">
                  <c:v>2010-2011</c:v>
                </c:pt>
              </c:strCache>
            </c:strRef>
          </c:tx>
          <c:invertIfNegative val="0"/>
          <c:cat>
            <c:strRef>
              <c:f>'ISS Trends'!$B$8:$B$14</c:f>
              <c:strCache>
                <c:ptCount val="7"/>
                <c:pt idx="0">
                  <c:v>Asian</c:v>
                </c:pt>
                <c:pt idx="1">
                  <c:v>Black of African American</c:v>
                </c:pt>
                <c:pt idx="2">
                  <c:v>Hispanic/ Latino</c:v>
                </c:pt>
                <c:pt idx="3">
                  <c:v>Native Hawaian/Other Pacific</c:v>
                </c:pt>
                <c:pt idx="4">
                  <c:v>Two or more races</c:v>
                </c:pt>
                <c:pt idx="5">
                  <c:v>White</c:v>
                </c:pt>
                <c:pt idx="6">
                  <c:v>All Students</c:v>
                </c:pt>
              </c:strCache>
            </c:strRef>
          </c:cat>
          <c:val>
            <c:numRef>
              <c:f>'ISS Trends'!$C$8:$C$14</c:f>
              <c:numCache>
                <c:formatCode>0.00%</c:formatCode>
                <c:ptCount val="7"/>
                <c:pt idx="0">
                  <c:v>1.5300000000000001E-2</c:v>
                </c:pt>
                <c:pt idx="1">
                  <c:v>0.1065</c:v>
                </c:pt>
                <c:pt idx="2">
                  <c:v>5.62E-2</c:v>
                </c:pt>
                <c:pt idx="3">
                  <c:v>0</c:v>
                </c:pt>
                <c:pt idx="4">
                  <c:v>4.1200000000000001E-2</c:v>
                </c:pt>
                <c:pt idx="5">
                  <c:v>2.53E-2</c:v>
                </c:pt>
                <c:pt idx="6">
                  <c:v>5.21E-2</c:v>
                </c:pt>
              </c:numCache>
            </c:numRef>
          </c:val>
          <c:extLst>
            <c:ext xmlns:c16="http://schemas.microsoft.com/office/drawing/2014/chart" uri="{C3380CC4-5D6E-409C-BE32-E72D297353CC}">
              <c16:uniqueId val="{00000000-E6D6-4B3B-B873-7433F54ABD46}"/>
            </c:ext>
          </c:extLst>
        </c:ser>
        <c:ser>
          <c:idx val="1"/>
          <c:order val="1"/>
          <c:tx>
            <c:strRef>
              <c:f>'ISS Trends'!$D$6</c:f>
              <c:strCache>
                <c:ptCount val="1"/>
                <c:pt idx="0">
                  <c:v>2011-2012</c:v>
                </c:pt>
              </c:strCache>
            </c:strRef>
          </c:tx>
          <c:invertIfNegative val="0"/>
          <c:cat>
            <c:strRef>
              <c:f>'ISS Trends'!$B$8:$B$14</c:f>
              <c:strCache>
                <c:ptCount val="7"/>
                <c:pt idx="0">
                  <c:v>Asian</c:v>
                </c:pt>
                <c:pt idx="1">
                  <c:v>Black of African American</c:v>
                </c:pt>
                <c:pt idx="2">
                  <c:v>Hispanic/ Latino</c:v>
                </c:pt>
                <c:pt idx="3">
                  <c:v>Native Hawaian/Other Pacific</c:v>
                </c:pt>
                <c:pt idx="4">
                  <c:v>Two or more races</c:v>
                </c:pt>
                <c:pt idx="5">
                  <c:v>White</c:v>
                </c:pt>
                <c:pt idx="6">
                  <c:v>All Students</c:v>
                </c:pt>
              </c:strCache>
            </c:strRef>
          </c:cat>
          <c:val>
            <c:numRef>
              <c:f>'ISS Trends'!$D$8:$D$14</c:f>
              <c:numCache>
                <c:formatCode>0.00%</c:formatCode>
                <c:ptCount val="7"/>
                <c:pt idx="0">
                  <c:v>5.1999999999999998E-3</c:v>
                </c:pt>
                <c:pt idx="1">
                  <c:v>8.8100000000000012E-2</c:v>
                </c:pt>
                <c:pt idx="2">
                  <c:v>5.04E-2</c:v>
                </c:pt>
                <c:pt idx="3">
                  <c:v>0</c:v>
                </c:pt>
                <c:pt idx="4">
                  <c:v>3.7400000000000003E-2</c:v>
                </c:pt>
                <c:pt idx="5">
                  <c:v>2.1899999999999999E-2</c:v>
                </c:pt>
                <c:pt idx="6">
                  <c:v>4.5400000000000003E-2</c:v>
                </c:pt>
              </c:numCache>
            </c:numRef>
          </c:val>
          <c:extLst>
            <c:ext xmlns:c16="http://schemas.microsoft.com/office/drawing/2014/chart" uri="{C3380CC4-5D6E-409C-BE32-E72D297353CC}">
              <c16:uniqueId val="{00000001-E6D6-4B3B-B873-7433F54ABD46}"/>
            </c:ext>
          </c:extLst>
        </c:ser>
        <c:ser>
          <c:idx val="2"/>
          <c:order val="2"/>
          <c:tx>
            <c:strRef>
              <c:f>'ISS Trends'!$E$6</c:f>
              <c:strCache>
                <c:ptCount val="1"/>
                <c:pt idx="0">
                  <c:v>2012-2013</c:v>
                </c:pt>
              </c:strCache>
            </c:strRef>
          </c:tx>
          <c:invertIfNegative val="0"/>
          <c:cat>
            <c:strRef>
              <c:f>'ISS Trends'!$B$8:$B$14</c:f>
              <c:strCache>
                <c:ptCount val="7"/>
                <c:pt idx="0">
                  <c:v>Asian</c:v>
                </c:pt>
                <c:pt idx="1">
                  <c:v>Black of African American</c:v>
                </c:pt>
                <c:pt idx="2">
                  <c:v>Hispanic/ Latino</c:v>
                </c:pt>
                <c:pt idx="3">
                  <c:v>Native Hawaian/Other Pacific</c:v>
                </c:pt>
                <c:pt idx="4">
                  <c:v>Two or more races</c:v>
                </c:pt>
                <c:pt idx="5">
                  <c:v>White</c:v>
                </c:pt>
                <c:pt idx="6">
                  <c:v>All Students</c:v>
                </c:pt>
              </c:strCache>
            </c:strRef>
          </c:cat>
          <c:val>
            <c:numRef>
              <c:f>'ISS Trends'!$E$8:$E$14</c:f>
              <c:numCache>
                <c:formatCode>0.00%</c:formatCode>
                <c:ptCount val="7"/>
                <c:pt idx="0">
                  <c:v>6.9999999999999993E-3</c:v>
                </c:pt>
                <c:pt idx="1">
                  <c:v>9.5899999999999999E-2</c:v>
                </c:pt>
                <c:pt idx="2">
                  <c:v>4.6300000000000001E-2</c:v>
                </c:pt>
                <c:pt idx="3">
                  <c:v>0</c:v>
                </c:pt>
                <c:pt idx="4">
                  <c:v>3.3099999999999997E-2</c:v>
                </c:pt>
                <c:pt idx="5">
                  <c:v>2.12E-2</c:v>
                </c:pt>
                <c:pt idx="6">
                  <c:v>4.2999999999999997E-2</c:v>
                </c:pt>
              </c:numCache>
            </c:numRef>
          </c:val>
          <c:extLst>
            <c:ext xmlns:c16="http://schemas.microsoft.com/office/drawing/2014/chart" uri="{C3380CC4-5D6E-409C-BE32-E72D297353CC}">
              <c16:uniqueId val="{00000002-E6D6-4B3B-B873-7433F54ABD46}"/>
            </c:ext>
          </c:extLst>
        </c:ser>
        <c:ser>
          <c:idx val="3"/>
          <c:order val="3"/>
          <c:tx>
            <c:strRef>
              <c:f>'ISS Trends'!$F$6</c:f>
              <c:strCache>
                <c:ptCount val="1"/>
                <c:pt idx="0">
                  <c:v>2013-2014</c:v>
                </c:pt>
              </c:strCache>
            </c:strRef>
          </c:tx>
          <c:invertIfNegative val="0"/>
          <c:cat>
            <c:strRef>
              <c:f>'ISS Trends'!$B$8:$B$14</c:f>
              <c:strCache>
                <c:ptCount val="7"/>
                <c:pt idx="0">
                  <c:v>Asian</c:v>
                </c:pt>
                <c:pt idx="1">
                  <c:v>Black of African American</c:v>
                </c:pt>
                <c:pt idx="2">
                  <c:v>Hispanic/ Latino</c:v>
                </c:pt>
                <c:pt idx="3">
                  <c:v>Native Hawaian/Other Pacific</c:v>
                </c:pt>
                <c:pt idx="4">
                  <c:v>Two or more races</c:v>
                </c:pt>
                <c:pt idx="5">
                  <c:v>White</c:v>
                </c:pt>
                <c:pt idx="6">
                  <c:v>All Students</c:v>
                </c:pt>
              </c:strCache>
            </c:strRef>
          </c:cat>
          <c:val>
            <c:numRef>
              <c:f>'ISS Trends'!$F$8:$F$14</c:f>
              <c:numCache>
                <c:formatCode>0.00%</c:formatCode>
                <c:ptCount val="7"/>
                <c:pt idx="0">
                  <c:v>6.1293288384921853E-3</c:v>
                </c:pt>
                <c:pt idx="1">
                  <c:v>8.6791976788192254E-2</c:v>
                </c:pt>
                <c:pt idx="2">
                  <c:v>4.087024653340865E-2</c:v>
                </c:pt>
                <c:pt idx="4">
                  <c:v>2.2765598650927487E-2</c:v>
                </c:pt>
                <c:pt idx="5">
                  <c:v>1.8330836344408213E-2</c:v>
                </c:pt>
                <c:pt idx="6">
                  <c:v>3.7592175225925034E-2</c:v>
                </c:pt>
              </c:numCache>
            </c:numRef>
          </c:val>
          <c:extLst>
            <c:ext xmlns:c16="http://schemas.microsoft.com/office/drawing/2014/chart" uri="{C3380CC4-5D6E-409C-BE32-E72D297353CC}">
              <c16:uniqueId val="{00000003-E6D6-4B3B-B873-7433F54ABD46}"/>
            </c:ext>
          </c:extLst>
        </c:ser>
        <c:dLbls>
          <c:showLegendKey val="0"/>
          <c:showVal val="0"/>
          <c:showCatName val="0"/>
          <c:showSerName val="0"/>
          <c:showPercent val="0"/>
          <c:showBubbleSize val="0"/>
        </c:dLbls>
        <c:gapWidth val="150"/>
        <c:axId val="531454288"/>
        <c:axId val="1"/>
      </c:barChart>
      <c:catAx>
        <c:axId val="531454288"/>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00%" sourceLinked="0"/>
        <c:majorTickMark val="none"/>
        <c:minorTickMark val="none"/>
        <c:tickLblPos val="nextTo"/>
        <c:crossAx val="531454288"/>
        <c:crosses val="autoZero"/>
        <c:crossBetween val="between"/>
      </c:valAx>
    </c:plotArea>
    <c:legend>
      <c:legendPos val="r"/>
      <c:layout>
        <c:manualLayout>
          <c:xMode val="edge"/>
          <c:yMode val="edge"/>
          <c:x val="0.84045744806828582"/>
          <c:y val="0.37559951206733866"/>
          <c:w val="0.13960140662829154"/>
          <c:h val="0.28469007602556246"/>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Austin ISD Disciplinary Alternative Education</a:t>
            </a:r>
            <a:r>
              <a:rPr lang="en-US" b="0" baseline="0"/>
              <a:t> </a:t>
            </a:r>
            <a:r>
              <a:rPr lang="en-US" b="0"/>
              <a:t>Program Placements, by Sex</a:t>
            </a:r>
          </a:p>
        </c:rich>
      </c:tx>
      <c:overlay val="0"/>
    </c:title>
    <c:autoTitleDeleted val="0"/>
    <c:plotArea>
      <c:layout/>
      <c:barChart>
        <c:barDir val="col"/>
        <c:grouping val="clustered"/>
        <c:varyColors val="0"/>
        <c:ser>
          <c:idx val="0"/>
          <c:order val="0"/>
          <c:tx>
            <c:strRef>
              <c:f>'By Gender'!$D$5</c:f>
              <c:strCache>
                <c:ptCount val="1"/>
                <c:pt idx="0">
                  <c:v>All Students</c:v>
                </c:pt>
              </c:strCache>
            </c:strRef>
          </c:tx>
          <c:invertIfNegative val="0"/>
          <c:cat>
            <c:strRef>
              <c:f>'By Gender'!$C$6:$C$10</c:f>
              <c:strCache>
                <c:ptCount val="5"/>
                <c:pt idx="0">
                  <c:v>2009-2010</c:v>
                </c:pt>
                <c:pt idx="1">
                  <c:v>2010-2011</c:v>
                </c:pt>
                <c:pt idx="2">
                  <c:v>2011-2012</c:v>
                </c:pt>
                <c:pt idx="3">
                  <c:v>2012-2013</c:v>
                </c:pt>
                <c:pt idx="4">
                  <c:v>2013-2014</c:v>
                </c:pt>
              </c:strCache>
            </c:strRef>
          </c:cat>
          <c:val>
            <c:numRef>
              <c:f>'By Gender'!$D$6:$D$10</c:f>
              <c:numCache>
                <c:formatCode>0.00%</c:formatCode>
                <c:ptCount val="5"/>
                <c:pt idx="0">
                  <c:v>1.9699999999999999E-2</c:v>
                </c:pt>
                <c:pt idx="1">
                  <c:v>1.8600000000000002E-2</c:v>
                </c:pt>
                <c:pt idx="2">
                  <c:v>1.83E-2</c:v>
                </c:pt>
                <c:pt idx="3">
                  <c:v>1.41E-2</c:v>
                </c:pt>
                <c:pt idx="4">
                  <c:v>1.3741493621583773E-2</c:v>
                </c:pt>
              </c:numCache>
            </c:numRef>
          </c:val>
          <c:extLst>
            <c:ext xmlns:c16="http://schemas.microsoft.com/office/drawing/2014/chart" uri="{C3380CC4-5D6E-409C-BE32-E72D297353CC}">
              <c16:uniqueId val="{00000000-7F4F-43BE-A7A3-F983F5CDD4E6}"/>
            </c:ext>
          </c:extLst>
        </c:ser>
        <c:ser>
          <c:idx val="1"/>
          <c:order val="1"/>
          <c:tx>
            <c:strRef>
              <c:f>'By Gender'!$E$5</c:f>
              <c:strCache>
                <c:ptCount val="1"/>
                <c:pt idx="0">
                  <c:v>Female</c:v>
                </c:pt>
              </c:strCache>
            </c:strRef>
          </c:tx>
          <c:invertIfNegative val="0"/>
          <c:cat>
            <c:strRef>
              <c:f>'By Gender'!$C$6:$C$10</c:f>
              <c:strCache>
                <c:ptCount val="5"/>
                <c:pt idx="0">
                  <c:v>2009-2010</c:v>
                </c:pt>
                <c:pt idx="1">
                  <c:v>2010-2011</c:v>
                </c:pt>
                <c:pt idx="2">
                  <c:v>2011-2012</c:v>
                </c:pt>
                <c:pt idx="3">
                  <c:v>2012-2013</c:v>
                </c:pt>
                <c:pt idx="4">
                  <c:v>2013-2014</c:v>
                </c:pt>
              </c:strCache>
            </c:strRef>
          </c:cat>
          <c:val>
            <c:numRef>
              <c:f>'By Gender'!$E$6:$E$10</c:f>
              <c:numCache>
                <c:formatCode>0.00%</c:formatCode>
                <c:ptCount val="5"/>
                <c:pt idx="0">
                  <c:v>9.8999999999999991E-3</c:v>
                </c:pt>
                <c:pt idx="1">
                  <c:v>0.01</c:v>
                </c:pt>
                <c:pt idx="2">
                  <c:v>9.3999999999999986E-3</c:v>
                </c:pt>
                <c:pt idx="3">
                  <c:v>6.1999999999999998E-3</c:v>
                </c:pt>
                <c:pt idx="4">
                  <c:v>7.4257984426137008E-3</c:v>
                </c:pt>
              </c:numCache>
            </c:numRef>
          </c:val>
          <c:extLst>
            <c:ext xmlns:c16="http://schemas.microsoft.com/office/drawing/2014/chart" uri="{C3380CC4-5D6E-409C-BE32-E72D297353CC}">
              <c16:uniqueId val="{00000001-7F4F-43BE-A7A3-F983F5CDD4E6}"/>
            </c:ext>
          </c:extLst>
        </c:ser>
        <c:ser>
          <c:idx val="2"/>
          <c:order val="2"/>
          <c:tx>
            <c:strRef>
              <c:f>'By Gender'!$F$5</c:f>
              <c:strCache>
                <c:ptCount val="1"/>
                <c:pt idx="0">
                  <c:v>Male</c:v>
                </c:pt>
              </c:strCache>
            </c:strRef>
          </c:tx>
          <c:invertIfNegative val="0"/>
          <c:cat>
            <c:strRef>
              <c:f>'By Gender'!$C$6:$C$10</c:f>
              <c:strCache>
                <c:ptCount val="5"/>
                <c:pt idx="0">
                  <c:v>2009-2010</c:v>
                </c:pt>
                <c:pt idx="1">
                  <c:v>2010-2011</c:v>
                </c:pt>
                <c:pt idx="2">
                  <c:v>2011-2012</c:v>
                </c:pt>
                <c:pt idx="3">
                  <c:v>2012-2013</c:v>
                </c:pt>
                <c:pt idx="4">
                  <c:v>2013-2014</c:v>
                </c:pt>
              </c:strCache>
            </c:strRef>
          </c:cat>
          <c:val>
            <c:numRef>
              <c:f>'By Gender'!$F$6:$F$10</c:f>
              <c:numCache>
                <c:formatCode>0.00%</c:formatCode>
                <c:ptCount val="5"/>
                <c:pt idx="0">
                  <c:v>2.8900000000000002E-2</c:v>
                </c:pt>
                <c:pt idx="1">
                  <c:v>2.6000000000000002E-2</c:v>
                </c:pt>
                <c:pt idx="2">
                  <c:v>2.6600000000000002E-2</c:v>
                </c:pt>
                <c:pt idx="3">
                  <c:v>2.1499999999999998E-2</c:v>
                </c:pt>
                <c:pt idx="4">
                  <c:v>1.9682782342824383E-2</c:v>
                </c:pt>
              </c:numCache>
            </c:numRef>
          </c:val>
          <c:extLst>
            <c:ext xmlns:c16="http://schemas.microsoft.com/office/drawing/2014/chart" uri="{C3380CC4-5D6E-409C-BE32-E72D297353CC}">
              <c16:uniqueId val="{00000002-7F4F-43BE-A7A3-F983F5CDD4E6}"/>
            </c:ext>
          </c:extLst>
        </c:ser>
        <c:dLbls>
          <c:showLegendKey val="0"/>
          <c:showVal val="0"/>
          <c:showCatName val="0"/>
          <c:showSerName val="0"/>
          <c:showPercent val="0"/>
          <c:showBubbleSize val="0"/>
        </c:dLbls>
        <c:gapWidth val="150"/>
        <c:axId val="469994512"/>
        <c:axId val="1"/>
      </c:barChart>
      <c:catAx>
        <c:axId val="469994512"/>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6.0000000000000012E-2"/>
        </c:scaling>
        <c:delete val="0"/>
        <c:axPos val="l"/>
        <c:majorGridlines/>
        <c:numFmt formatCode="0.00%" sourceLinked="1"/>
        <c:majorTickMark val="none"/>
        <c:minorTickMark val="none"/>
        <c:tickLblPos val="nextTo"/>
        <c:crossAx val="469994512"/>
        <c:crosses val="autoZero"/>
        <c:crossBetween val="between"/>
      </c:valAx>
    </c:plotArea>
    <c:legend>
      <c:legendPos val="r"/>
      <c:layout>
        <c:manualLayout>
          <c:xMode val="edge"/>
          <c:yMode val="edge"/>
          <c:x val="0.74489925818489111"/>
          <c:y val="0.45423860387572296"/>
          <c:w val="0.22857182716906246"/>
          <c:h val="0.30169578914133843"/>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Del</a:t>
            </a:r>
            <a:r>
              <a:rPr lang="en-US" b="0" baseline="0"/>
              <a:t> Valle</a:t>
            </a:r>
            <a:r>
              <a:rPr lang="en-US" b="0"/>
              <a:t> ISD Disciplinary Alternative Education</a:t>
            </a:r>
            <a:r>
              <a:rPr lang="en-US" b="0" baseline="0"/>
              <a:t> </a:t>
            </a:r>
            <a:r>
              <a:rPr lang="en-US" b="0"/>
              <a:t>Program Placements, by Sex</a:t>
            </a:r>
          </a:p>
        </c:rich>
      </c:tx>
      <c:overlay val="0"/>
    </c:title>
    <c:autoTitleDeleted val="0"/>
    <c:plotArea>
      <c:layout/>
      <c:barChart>
        <c:barDir val="col"/>
        <c:grouping val="clustered"/>
        <c:varyColors val="0"/>
        <c:ser>
          <c:idx val="0"/>
          <c:order val="0"/>
          <c:tx>
            <c:strRef>
              <c:f>'By Gender'!$D$5</c:f>
              <c:strCache>
                <c:ptCount val="1"/>
                <c:pt idx="0">
                  <c:v>All Students</c:v>
                </c:pt>
              </c:strCache>
            </c:strRef>
          </c:tx>
          <c:invertIfNegative val="0"/>
          <c:cat>
            <c:strRef>
              <c:f>'By Gender'!$C$28:$C$32</c:f>
              <c:strCache>
                <c:ptCount val="5"/>
                <c:pt idx="0">
                  <c:v>2009-2010</c:v>
                </c:pt>
                <c:pt idx="1">
                  <c:v>2010-2011</c:v>
                </c:pt>
                <c:pt idx="2">
                  <c:v>2011-2012</c:v>
                </c:pt>
                <c:pt idx="3">
                  <c:v>2012-2013</c:v>
                </c:pt>
                <c:pt idx="4">
                  <c:v>2013-2014</c:v>
                </c:pt>
              </c:strCache>
            </c:strRef>
          </c:cat>
          <c:val>
            <c:numRef>
              <c:f>'By Gender'!$D$28:$D$32</c:f>
              <c:numCache>
                <c:formatCode>0.00%</c:formatCode>
                <c:ptCount val="5"/>
                <c:pt idx="0">
                  <c:v>4.0099999999999997E-2</c:v>
                </c:pt>
                <c:pt idx="1">
                  <c:v>3.5000000000000003E-2</c:v>
                </c:pt>
                <c:pt idx="2">
                  <c:v>2.81E-2</c:v>
                </c:pt>
                <c:pt idx="3">
                  <c:v>2.98E-2</c:v>
                </c:pt>
                <c:pt idx="4">
                  <c:v>3.2500000000000001E-2</c:v>
                </c:pt>
              </c:numCache>
            </c:numRef>
          </c:val>
          <c:extLst>
            <c:ext xmlns:c16="http://schemas.microsoft.com/office/drawing/2014/chart" uri="{C3380CC4-5D6E-409C-BE32-E72D297353CC}">
              <c16:uniqueId val="{00000000-6288-4714-8254-0217AA68EACC}"/>
            </c:ext>
          </c:extLst>
        </c:ser>
        <c:ser>
          <c:idx val="1"/>
          <c:order val="1"/>
          <c:tx>
            <c:strRef>
              <c:f>'By Gender'!$E$5</c:f>
              <c:strCache>
                <c:ptCount val="1"/>
                <c:pt idx="0">
                  <c:v>Female</c:v>
                </c:pt>
              </c:strCache>
            </c:strRef>
          </c:tx>
          <c:invertIfNegative val="0"/>
          <c:cat>
            <c:strRef>
              <c:f>'By Gender'!$C$28:$C$32</c:f>
              <c:strCache>
                <c:ptCount val="5"/>
                <c:pt idx="0">
                  <c:v>2009-2010</c:v>
                </c:pt>
                <c:pt idx="1">
                  <c:v>2010-2011</c:v>
                </c:pt>
                <c:pt idx="2">
                  <c:v>2011-2012</c:v>
                </c:pt>
                <c:pt idx="3">
                  <c:v>2012-2013</c:v>
                </c:pt>
                <c:pt idx="4">
                  <c:v>2013-2014</c:v>
                </c:pt>
              </c:strCache>
            </c:strRef>
          </c:cat>
          <c:val>
            <c:numRef>
              <c:f>'By Gender'!$E$28:$E$32</c:f>
              <c:numCache>
                <c:formatCode>0.00%</c:formatCode>
                <c:ptCount val="5"/>
                <c:pt idx="0">
                  <c:v>2.4199999999999999E-2</c:v>
                </c:pt>
                <c:pt idx="1">
                  <c:v>2.0400000000000001E-2</c:v>
                </c:pt>
                <c:pt idx="2">
                  <c:v>1.5599999999999999E-2</c:v>
                </c:pt>
                <c:pt idx="3">
                  <c:v>1.3100000000000001E-2</c:v>
                </c:pt>
                <c:pt idx="4">
                  <c:v>1.67E-2</c:v>
                </c:pt>
              </c:numCache>
            </c:numRef>
          </c:val>
          <c:extLst>
            <c:ext xmlns:c16="http://schemas.microsoft.com/office/drawing/2014/chart" uri="{C3380CC4-5D6E-409C-BE32-E72D297353CC}">
              <c16:uniqueId val="{00000001-6288-4714-8254-0217AA68EACC}"/>
            </c:ext>
          </c:extLst>
        </c:ser>
        <c:ser>
          <c:idx val="2"/>
          <c:order val="2"/>
          <c:tx>
            <c:strRef>
              <c:f>'By Gender'!$F$5</c:f>
              <c:strCache>
                <c:ptCount val="1"/>
                <c:pt idx="0">
                  <c:v>Male</c:v>
                </c:pt>
              </c:strCache>
            </c:strRef>
          </c:tx>
          <c:invertIfNegative val="0"/>
          <c:cat>
            <c:strRef>
              <c:f>'By Gender'!$C$28:$C$32</c:f>
              <c:strCache>
                <c:ptCount val="5"/>
                <c:pt idx="0">
                  <c:v>2009-2010</c:v>
                </c:pt>
                <c:pt idx="1">
                  <c:v>2010-2011</c:v>
                </c:pt>
                <c:pt idx="2">
                  <c:v>2011-2012</c:v>
                </c:pt>
                <c:pt idx="3">
                  <c:v>2012-2013</c:v>
                </c:pt>
                <c:pt idx="4">
                  <c:v>2013-2014</c:v>
                </c:pt>
              </c:strCache>
            </c:strRef>
          </c:cat>
          <c:val>
            <c:numRef>
              <c:f>'By Gender'!$F$28:$F$32</c:f>
              <c:numCache>
                <c:formatCode>0.00%</c:formatCode>
                <c:ptCount val="5"/>
                <c:pt idx="0">
                  <c:v>5.5399999999999998E-2</c:v>
                </c:pt>
                <c:pt idx="1">
                  <c:v>4.9200000000000001E-2</c:v>
                </c:pt>
                <c:pt idx="2">
                  <c:v>0.04</c:v>
                </c:pt>
                <c:pt idx="3">
                  <c:v>4.5900000000000003E-2</c:v>
                </c:pt>
                <c:pt idx="4">
                  <c:v>4.7699999999999999E-2</c:v>
                </c:pt>
              </c:numCache>
            </c:numRef>
          </c:val>
          <c:extLst>
            <c:ext xmlns:c16="http://schemas.microsoft.com/office/drawing/2014/chart" uri="{C3380CC4-5D6E-409C-BE32-E72D297353CC}">
              <c16:uniqueId val="{00000002-6288-4714-8254-0217AA68EACC}"/>
            </c:ext>
          </c:extLst>
        </c:ser>
        <c:dLbls>
          <c:showLegendKey val="0"/>
          <c:showVal val="0"/>
          <c:showCatName val="0"/>
          <c:showSerName val="0"/>
          <c:showPercent val="0"/>
          <c:showBubbleSize val="0"/>
        </c:dLbls>
        <c:gapWidth val="150"/>
        <c:axId val="470003472"/>
        <c:axId val="1"/>
      </c:barChart>
      <c:catAx>
        <c:axId val="470003472"/>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crossAx val="470003472"/>
        <c:crosses val="autoZero"/>
        <c:crossBetween val="between"/>
      </c:valAx>
    </c:plotArea>
    <c:legend>
      <c:legendPos val="r"/>
      <c:layout>
        <c:manualLayout>
          <c:xMode val="edge"/>
          <c:yMode val="edge"/>
          <c:x val="0.74489925818489111"/>
          <c:y val="0.45423860387572296"/>
          <c:w val="0.22857182716906246"/>
          <c:h val="0.30169578914133843"/>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Manor ISD Disciplinary Alternative Education</a:t>
            </a:r>
            <a:r>
              <a:rPr lang="en-US" b="0" baseline="0"/>
              <a:t> </a:t>
            </a:r>
            <a:r>
              <a:rPr lang="en-US" b="0"/>
              <a:t>Program Placements, by Sex</a:t>
            </a:r>
          </a:p>
        </c:rich>
      </c:tx>
      <c:overlay val="0"/>
    </c:title>
    <c:autoTitleDeleted val="0"/>
    <c:plotArea>
      <c:layout/>
      <c:barChart>
        <c:barDir val="col"/>
        <c:grouping val="clustered"/>
        <c:varyColors val="0"/>
        <c:ser>
          <c:idx val="0"/>
          <c:order val="0"/>
          <c:tx>
            <c:strRef>
              <c:f>'By Gender'!$D$5</c:f>
              <c:strCache>
                <c:ptCount val="1"/>
                <c:pt idx="0">
                  <c:v>All Students</c:v>
                </c:pt>
              </c:strCache>
            </c:strRef>
          </c:tx>
          <c:invertIfNegative val="0"/>
          <c:cat>
            <c:strRef>
              <c:f>'By Gender'!$C$102:$C$106</c:f>
              <c:strCache>
                <c:ptCount val="5"/>
                <c:pt idx="0">
                  <c:v>2009-2010</c:v>
                </c:pt>
                <c:pt idx="1">
                  <c:v>2010-2011</c:v>
                </c:pt>
                <c:pt idx="2">
                  <c:v>2011-2012</c:v>
                </c:pt>
                <c:pt idx="3">
                  <c:v>2012-2013</c:v>
                </c:pt>
                <c:pt idx="4">
                  <c:v>2013-2014</c:v>
                </c:pt>
              </c:strCache>
            </c:strRef>
          </c:cat>
          <c:val>
            <c:numRef>
              <c:f>'By Gender'!$D$102:$D$106</c:f>
              <c:numCache>
                <c:formatCode>0.00%</c:formatCode>
                <c:ptCount val="5"/>
                <c:pt idx="0">
                  <c:v>2.1399999999999999E-2</c:v>
                </c:pt>
                <c:pt idx="1">
                  <c:v>2.64E-2</c:v>
                </c:pt>
                <c:pt idx="2">
                  <c:v>2.5100000000000001E-2</c:v>
                </c:pt>
                <c:pt idx="3">
                  <c:v>2.3599999999999999E-2</c:v>
                </c:pt>
                <c:pt idx="4">
                  <c:v>2.1899999999999999E-2</c:v>
                </c:pt>
              </c:numCache>
            </c:numRef>
          </c:val>
          <c:extLst>
            <c:ext xmlns:c16="http://schemas.microsoft.com/office/drawing/2014/chart" uri="{C3380CC4-5D6E-409C-BE32-E72D297353CC}">
              <c16:uniqueId val="{00000000-DB8B-49CF-AA12-B9C6F5491812}"/>
            </c:ext>
          </c:extLst>
        </c:ser>
        <c:ser>
          <c:idx val="1"/>
          <c:order val="1"/>
          <c:tx>
            <c:strRef>
              <c:f>'By Gender'!$E$5</c:f>
              <c:strCache>
                <c:ptCount val="1"/>
                <c:pt idx="0">
                  <c:v>Female</c:v>
                </c:pt>
              </c:strCache>
            </c:strRef>
          </c:tx>
          <c:invertIfNegative val="0"/>
          <c:cat>
            <c:strRef>
              <c:f>'By Gender'!$C$102:$C$106</c:f>
              <c:strCache>
                <c:ptCount val="5"/>
                <c:pt idx="0">
                  <c:v>2009-2010</c:v>
                </c:pt>
                <c:pt idx="1">
                  <c:v>2010-2011</c:v>
                </c:pt>
                <c:pt idx="2">
                  <c:v>2011-2012</c:v>
                </c:pt>
                <c:pt idx="3">
                  <c:v>2012-2013</c:v>
                </c:pt>
                <c:pt idx="4">
                  <c:v>2013-2014</c:v>
                </c:pt>
              </c:strCache>
            </c:strRef>
          </c:cat>
          <c:val>
            <c:numRef>
              <c:f>'By Gender'!$E$102:$E$106</c:f>
              <c:numCache>
                <c:formatCode>0.00%</c:formatCode>
                <c:ptCount val="5"/>
                <c:pt idx="0">
                  <c:v>1.41E-2</c:v>
                </c:pt>
                <c:pt idx="1">
                  <c:v>1.61E-2</c:v>
                </c:pt>
                <c:pt idx="2">
                  <c:v>1.61E-2</c:v>
                </c:pt>
                <c:pt idx="4">
                  <c:v>1.21E-2</c:v>
                </c:pt>
              </c:numCache>
            </c:numRef>
          </c:val>
          <c:extLst>
            <c:ext xmlns:c16="http://schemas.microsoft.com/office/drawing/2014/chart" uri="{C3380CC4-5D6E-409C-BE32-E72D297353CC}">
              <c16:uniqueId val="{00000001-DB8B-49CF-AA12-B9C6F5491812}"/>
            </c:ext>
          </c:extLst>
        </c:ser>
        <c:ser>
          <c:idx val="2"/>
          <c:order val="2"/>
          <c:tx>
            <c:strRef>
              <c:f>'By Gender'!$F$5</c:f>
              <c:strCache>
                <c:ptCount val="1"/>
                <c:pt idx="0">
                  <c:v>Male</c:v>
                </c:pt>
              </c:strCache>
            </c:strRef>
          </c:tx>
          <c:invertIfNegative val="0"/>
          <c:cat>
            <c:strRef>
              <c:f>'By Gender'!$C$102:$C$106</c:f>
              <c:strCache>
                <c:ptCount val="5"/>
                <c:pt idx="0">
                  <c:v>2009-2010</c:v>
                </c:pt>
                <c:pt idx="1">
                  <c:v>2010-2011</c:v>
                </c:pt>
                <c:pt idx="2">
                  <c:v>2011-2012</c:v>
                </c:pt>
                <c:pt idx="3">
                  <c:v>2012-2013</c:v>
                </c:pt>
                <c:pt idx="4">
                  <c:v>2013-2014</c:v>
                </c:pt>
              </c:strCache>
            </c:strRef>
          </c:cat>
          <c:val>
            <c:numRef>
              <c:f>'By Gender'!$F$102:$F$106</c:f>
              <c:numCache>
                <c:formatCode>0.00%</c:formatCode>
                <c:ptCount val="5"/>
                <c:pt idx="0">
                  <c:v>2.8400000000000002E-2</c:v>
                </c:pt>
                <c:pt idx="1">
                  <c:v>3.6499999999999998E-2</c:v>
                </c:pt>
                <c:pt idx="2">
                  <c:v>3.4099999999999998E-2</c:v>
                </c:pt>
                <c:pt idx="3">
                  <c:v>1.3599999999999999E-2</c:v>
                </c:pt>
                <c:pt idx="4">
                  <c:v>3.1199999999999999E-2</c:v>
                </c:pt>
              </c:numCache>
            </c:numRef>
          </c:val>
          <c:extLst>
            <c:ext xmlns:c16="http://schemas.microsoft.com/office/drawing/2014/chart" uri="{C3380CC4-5D6E-409C-BE32-E72D297353CC}">
              <c16:uniqueId val="{00000002-DB8B-49CF-AA12-B9C6F5491812}"/>
            </c:ext>
          </c:extLst>
        </c:ser>
        <c:dLbls>
          <c:showLegendKey val="0"/>
          <c:showVal val="0"/>
          <c:showCatName val="0"/>
          <c:showSerName val="0"/>
          <c:showPercent val="0"/>
          <c:showBubbleSize val="0"/>
        </c:dLbls>
        <c:gapWidth val="150"/>
        <c:axId val="470003792"/>
        <c:axId val="1"/>
      </c:barChart>
      <c:catAx>
        <c:axId val="470003792"/>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6.0000000000000012E-2"/>
        </c:scaling>
        <c:delete val="0"/>
        <c:axPos val="l"/>
        <c:majorGridlines/>
        <c:numFmt formatCode="0.00%" sourceLinked="1"/>
        <c:majorTickMark val="none"/>
        <c:minorTickMark val="none"/>
        <c:tickLblPos val="nextTo"/>
        <c:crossAx val="470003792"/>
        <c:crosses val="autoZero"/>
        <c:crossBetween val="between"/>
      </c:valAx>
    </c:plotArea>
    <c:legend>
      <c:legendPos val="r"/>
      <c:layout>
        <c:manualLayout>
          <c:xMode val="edge"/>
          <c:yMode val="edge"/>
          <c:x val="0.74489925818489111"/>
          <c:y val="0.45423860387572296"/>
          <c:w val="0.22857182716906246"/>
          <c:h val="0.30169578914133843"/>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Pflugerville ISD Disciplinary Alternative Education</a:t>
            </a:r>
            <a:r>
              <a:rPr lang="en-US" b="0" baseline="0"/>
              <a:t> </a:t>
            </a:r>
            <a:r>
              <a:rPr lang="en-US" b="0"/>
              <a:t>Program Placements, by Sex</a:t>
            </a:r>
          </a:p>
        </c:rich>
      </c:tx>
      <c:overlay val="0"/>
    </c:title>
    <c:autoTitleDeleted val="0"/>
    <c:plotArea>
      <c:layout/>
      <c:barChart>
        <c:barDir val="col"/>
        <c:grouping val="clustered"/>
        <c:varyColors val="0"/>
        <c:ser>
          <c:idx val="0"/>
          <c:order val="0"/>
          <c:tx>
            <c:strRef>
              <c:f>'By Gender'!$D$5</c:f>
              <c:strCache>
                <c:ptCount val="1"/>
                <c:pt idx="0">
                  <c:v>All Students</c:v>
                </c:pt>
              </c:strCache>
            </c:strRef>
          </c:tx>
          <c:invertIfNegative val="0"/>
          <c:cat>
            <c:strRef>
              <c:f>'By Gender'!$C$123:$C$127</c:f>
              <c:strCache>
                <c:ptCount val="5"/>
                <c:pt idx="0">
                  <c:v>2014-2015</c:v>
                </c:pt>
                <c:pt idx="1">
                  <c:v>2015-2016</c:v>
                </c:pt>
                <c:pt idx="2">
                  <c:v>2016-2017</c:v>
                </c:pt>
                <c:pt idx="3">
                  <c:v>2017-2018</c:v>
                </c:pt>
                <c:pt idx="4">
                  <c:v>2018-2019</c:v>
                </c:pt>
              </c:strCache>
            </c:strRef>
          </c:cat>
          <c:val>
            <c:numRef>
              <c:f>'By Gender'!$D$123:$D$127</c:f>
              <c:numCache>
                <c:formatCode>0.00%</c:formatCode>
                <c:ptCount val="5"/>
                <c:pt idx="4">
                  <c:v>1.5771478989743026E-2</c:v>
                </c:pt>
              </c:numCache>
            </c:numRef>
          </c:val>
          <c:extLst>
            <c:ext xmlns:c16="http://schemas.microsoft.com/office/drawing/2014/chart" uri="{C3380CC4-5D6E-409C-BE32-E72D297353CC}">
              <c16:uniqueId val="{00000000-2368-40E1-9B7C-7B08B6D12361}"/>
            </c:ext>
          </c:extLst>
        </c:ser>
        <c:ser>
          <c:idx val="1"/>
          <c:order val="1"/>
          <c:tx>
            <c:strRef>
              <c:f>'By Gender'!$E$5</c:f>
              <c:strCache>
                <c:ptCount val="1"/>
                <c:pt idx="0">
                  <c:v>Female</c:v>
                </c:pt>
              </c:strCache>
            </c:strRef>
          </c:tx>
          <c:invertIfNegative val="0"/>
          <c:cat>
            <c:strRef>
              <c:f>'By Gender'!$C$123:$C$127</c:f>
              <c:strCache>
                <c:ptCount val="5"/>
                <c:pt idx="0">
                  <c:v>2014-2015</c:v>
                </c:pt>
                <c:pt idx="1">
                  <c:v>2015-2016</c:v>
                </c:pt>
                <c:pt idx="2">
                  <c:v>2016-2017</c:v>
                </c:pt>
                <c:pt idx="3">
                  <c:v>2017-2018</c:v>
                </c:pt>
                <c:pt idx="4">
                  <c:v>2018-2019</c:v>
                </c:pt>
              </c:strCache>
            </c:strRef>
          </c:cat>
          <c:val>
            <c:numRef>
              <c:f>'By Gender'!$E$123:$E$127</c:f>
              <c:numCache>
                <c:formatCode>0.00%</c:formatCode>
                <c:ptCount val="5"/>
                <c:pt idx="4">
                  <c:v>1.1657142857142857E-2</c:v>
                </c:pt>
              </c:numCache>
            </c:numRef>
          </c:val>
          <c:extLst>
            <c:ext xmlns:c16="http://schemas.microsoft.com/office/drawing/2014/chart" uri="{C3380CC4-5D6E-409C-BE32-E72D297353CC}">
              <c16:uniqueId val="{00000001-2368-40E1-9B7C-7B08B6D12361}"/>
            </c:ext>
          </c:extLst>
        </c:ser>
        <c:ser>
          <c:idx val="2"/>
          <c:order val="2"/>
          <c:tx>
            <c:strRef>
              <c:f>'By Gender'!$F$5</c:f>
              <c:strCache>
                <c:ptCount val="1"/>
                <c:pt idx="0">
                  <c:v>Male</c:v>
                </c:pt>
              </c:strCache>
            </c:strRef>
          </c:tx>
          <c:invertIfNegative val="0"/>
          <c:cat>
            <c:strRef>
              <c:f>'By Gender'!$C$123:$C$127</c:f>
              <c:strCache>
                <c:ptCount val="5"/>
                <c:pt idx="0">
                  <c:v>2014-2015</c:v>
                </c:pt>
                <c:pt idx="1">
                  <c:v>2015-2016</c:v>
                </c:pt>
                <c:pt idx="2">
                  <c:v>2016-2017</c:v>
                </c:pt>
                <c:pt idx="3">
                  <c:v>2017-2018</c:v>
                </c:pt>
                <c:pt idx="4">
                  <c:v>2018-2019</c:v>
                </c:pt>
              </c:strCache>
            </c:strRef>
          </c:cat>
          <c:val>
            <c:numRef>
              <c:f>'By Gender'!$F$123:$F$127</c:f>
              <c:numCache>
                <c:formatCode>0.00%</c:formatCode>
                <c:ptCount val="5"/>
                <c:pt idx="4">
                  <c:v>1.9607843137254902E-2</c:v>
                </c:pt>
              </c:numCache>
            </c:numRef>
          </c:val>
          <c:extLst>
            <c:ext xmlns:c16="http://schemas.microsoft.com/office/drawing/2014/chart" uri="{C3380CC4-5D6E-409C-BE32-E72D297353CC}">
              <c16:uniqueId val="{00000002-2368-40E1-9B7C-7B08B6D12361}"/>
            </c:ext>
          </c:extLst>
        </c:ser>
        <c:dLbls>
          <c:showLegendKey val="0"/>
          <c:showVal val="0"/>
          <c:showCatName val="0"/>
          <c:showSerName val="0"/>
          <c:showPercent val="0"/>
          <c:showBubbleSize val="0"/>
        </c:dLbls>
        <c:gapWidth val="150"/>
        <c:axId val="470005712"/>
        <c:axId val="1"/>
      </c:barChart>
      <c:catAx>
        <c:axId val="470005712"/>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6.0000000000000012E-2"/>
        </c:scaling>
        <c:delete val="0"/>
        <c:axPos val="l"/>
        <c:majorGridlines/>
        <c:numFmt formatCode="0.00%" sourceLinked="1"/>
        <c:majorTickMark val="none"/>
        <c:minorTickMark val="none"/>
        <c:tickLblPos val="nextTo"/>
        <c:crossAx val="470005712"/>
        <c:crosses val="autoZero"/>
        <c:crossBetween val="between"/>
      </c:valAx>
    </c:plotArea>
    <c:legend>
      <c:legendPos val="r"/>
      <c:layout>
        <c:manualLayout>
          <c:xMode val="edge"/>
          <c:yMode val="edge"/>
          <c:x val="0.74489925818489111"/>
          <c:y val="0.45423860387572296"/>
          <c:w val="0.22857182716906246"/>
          <c:h val="0.30169578914133843"/>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Percent of Students Subject to Each Type of Disciplinary Action,</a:t>
            </a:r>
          </a:p>
          <a:p>
            <a:pPr>
              <a:defRPr b="0"/>
            </a:pPr>
            <a:r>
              <a:rPr lang="en-US" b="0"/>
              <a:t>Manor ISD, by School Year</a:t>
            </a:r>
          </a:p>
        </c:rich>
      </c:tx>
      <c:overlay val="0"/>
    </c:title>
    <c:autoTitleDeleted val="0"/>
    <c:plotArea>
      <c:layout/>
      <c:barChart>
        <c:barDir val="col"/>
        <c:grouping val="clustered"/>
        <c:varyColors val="0"/>
        <c:ser>
          <c:idx val="0"/>
          <c:order val="0"/>
          <c:tx>
            <c:strRef>
              <c:f>'Overall Breakdown'!$B$102</c:f>
              <c:strCache>
                <c:ptCount val="1"/>
                <c:pt idx="0">
                  <c:v>2013-2014</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Breakdown'!$D$102:$G$102</c:f>
              <c:numCache>
                <c:formatCode>0.0%</c:formatCode>
                <c:ptCount val="4"/>
                <c:pt idx="0">
                  <c:v>8.9300000000000004E-2</c:v>
                </c:pt>
                <c:pt idx="1">
                  <c:v>4.5900000000000003E-2</c:v>
                </c:pt>
                <c:pt idx="2">
                  <c:v>2.1899999999999999E-2</c:v>
                </c:pt>
                <c:pt idx="3">
                  <c:v>0</c:v>
                </c:pt>
              </c:numCache>
            </c:numRef>
          </c:val>
          <c:extLst>
            <c:ext xmlns:c16="http://schemas.microsoft.com/office/drawing/2014/chart" uri="{C3380CC4-5D6E-409C-BE32-E72D297353CC}">
              <c16:uniqueId val="{00000000-C4BD-45E5-8646-2DDC0D0E469D}"/>
            </c:ext>
          </c:extLst>
        </c:ser>
        <c:ser>
          <c:idx val="1"/>
          <c:order val="1"/>
          <c:tx>
            <c:strRef>
              <c:f>'Overall Breakdown'!$B$103</c:f>
              <c:strCache>
                <c:ptCount val="1"/>
                <c:pt idx="0">
                  <c:v>2014-2015</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Breakdown'!$D$103:$G$103</c:f>
              <c:numCache>
                <c:formatCode>0.0%</c:formatCode>
                <c:ptCount val="4"/>
                <c:pt idx="0">
                  <c:v>8.8474852372225618E-2</c:v>
                </c:pt>
                <c:pt idx="1">
                  <c:v>4.3982895540623089E-2</c:v>
                </c:pt>
                <c:pt idx="2">
                  <c:v>1.9751578090002036E-2</c:v>
                </c:pt>
              </c:numCache>
            </c:numRef>
          </c:val>
          <c:extLst>
            <c:ext xmlns:c16="http://schemas.microsoft.com/office/drawing/2014/chart" uri="{C3380CC4-5D6E-409C-BE32-E72D297353CC}">
              <c16:uniqueId val="{00000001-C4BD-45E5-8646-2DDC0D0E469D}"/>
            </c:ext>
          </c:extLst>
        </c:ser>
        <c:ser>
          <c:idx val="2"/>
          <c:order val="2"/>
          <c:tx>
            <c:strRef>
              <c:f>'Overall Breakdown'!$B$104</c:f>
              <c:strCache>
                <c:ptCount val="1"/>
                <c:pt idx="0">
                  <c:v>2015-2016</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Breakdown'!$D$104:$G$104</c:f>
              <c:numCache>
                <c:formatCode>0.0%</c:formatCode>
                <c:ptCount val="4"/>
                <c:pt idx="0">
                  <c:v>9.760081674323634E-2</c:v>
                </c:pt>
                <c:pt idx="1">
                  <c:v>4.2368555385400714E-2</c:v>
                </c:pt>
                <c:pt idx="2">
                  <c:v>2.6442062276671771E-2</c:v>
                </c:pt>
              </c:numCache>
            </c:numRef>
          </c:val>
          <c:extLst>
            <c:ext xmlns:c16="http://schemas.microsoft.com/office/drawing/2014/chart" uri="{C3380CC4-5D6E-409C-BE32-E72D297353CC}">
              <c16:uniqueId val="{00000002-C4BD-45E5-8646-2DDC0D0E469D}"/>
            </c:ext>
          </c:extLst>
        </c:ser>
        <c:ser>
          <c:idx val="3"/>
          <c:order val="3"/>
          <c:tx>
            <c:strRef>
              <c:f>'Overall Breakdown'!$B$105</c:f>
              <c:strCache>
                <c:ptCount val="1"/>
                <c:pt idx="0">
                  <c:v>2016-2017</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Breakdown'!$D$105:$G$105</c:f>
              <c:numCache>
                <c:formatCode>0.0%</c:formatCode>
                <c:ptCount val="4"/>
                <c:pt idx="0">
                  <c:v>9.6054534187151416E-2</c:v>
                </c:pt>
                <c:pt idx="1">
                  <c:v>5.701301384011568E-2</c:v>
                </c:pt>
                <c:pt idx="2">
                  <c:v>1.3220409006403635E-2</c:v>
                </c:pt>
              </c:numCache>
            </c:numRef>
          </c:val>
          <c:extLst>
            <c:ext xmlns:c16="http://schemas.microsoft.com/office/drawing/2014/chart" uri="{C3380CC4-5D6E-409C-BE32-E72D297353CC}">
              <c16:uniqueId val="{00000003-C4BD-45E5-8646-2DDC0D0E469D}"/>
            </c:ext>
          </c:extLst>
        </c:ser>
        <c:ser>
          <c:idx val="4"/>
          <c:order val="4"/>
          <c:tx>
            <c:strRef>
              <c:f>'Overall Breakdown'!$B$106</c:f>
              <c:strCache>
                <c:ptCount val="1"/>
                <c:pt idx="0">
                  <c:v>2017-2018</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Breakdown'!$D$106:$G$106</c:f>
              <c:numCache>
                <c:formatCode>0.0%</c:formatCode>
                <c:ptCount val="4"/>
                <c:pt idx="0">
                  <c:v>0.13001105194413745</c:v>
                </c:pt>
                <c:pt idx="1">
                  <c:v>7.2339997990555613E-2</c:v>
                </c:pt>
                <c:pt idx="2">
                  <c:v>1.5673666231287048E-2</c:v>
                </c:pt>
              </c:numCache>
            </c:numRef>
          </c:val>
          <c:extLst>
            <c:ext xmlns:c16="http://schemas.microsoft.com/office/drawing/2014/chart" uri="{C3380CC4-5D6E-409C-BE32-E72D297353CC}">
              <c16:uniqueId val="{00000004-C4BD-45E5-8646-2DDC0D0E469D}"/>
            </c:ext>
          </c:extLst>
        </c:ser>
        <c:ser>
          <c:idx val="5"/>
          <c:order val="5"/>
          <c:tx>
            <c:strRef>
              <c:f>'Overall Breakdown'!$B$107</c:f>
              <c:strCache>
                <c:ptCount val="1"/>
                <c:pt idx="0">
                  <c:v>2018-2019</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Breakdown'!$D$107:$G$107</c:f>
              <c:numCache>
                <c:formatCode>0.0%</c:formatCode>
                <c:ptCount val="4"/>
                <c:pt idx="0">
                  <c:v>0.11922402027685709</c:v>
                </c:pt>
                <c:pt idx="1">
                  <c:v>6.5899785533242342E-2</c:v>
                </c:pt>
                <c:pt idx="2">
                  <c:v>1.2185611230259311E-2</c:v>
                </c:pt>
              </c:numCache>
            </c:numRef>
          </c:val>
          <c:extLst>
            <c:ext xmlns:c16="http://schemas.microsoft.com/office/drawing/2014/chart" uri="{C3380CC4-5D6E-409C-BE32-E72D297353CC}">
              <c16:uniqueId val="{00000000-7C1F-4B0E-8197-EA131E87B64D}"/>
            </c:ext>
          </c:extLst>
        </c:ser>
        <c:dLbls>
          <c:showLegendKey val="0"/>
          <c:showVal val="0"/>
          <c:showCatName val="0"/>
          <c:showSerName val="0"/>
          <c:showPercent val="0"/>
          <c:showBubbleSize val="0"/>
        </c:dLbls>
        <c:gapWidth val="150"/>
        <c:axId val="531462928"/>
        <c:axId val="1"/>
      </c:barChart>
      <c:catAx>
        <c:axId val="531462928"/>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0.25"/>
        </c:scaling>
        <c:delete val="0"/>
        <c:axPos val="l"/>
        <c:majorGridlines/>
        <c:numFmt formatCode="0.0%" sourceLinked="1"/>
        <c:majorTickMark val="none"/>
        <c:minorTickMark val="none"/>
        <c:tickLblPos val="nextTo"/>
        <c:crossAx val="531462928"/>
        <c:crosses val="autoZero"/>
        <c:crossBetween val="between"/>
      </c:valAx>
    </c:plotArea>
    <c:legend>
      <c:legendPos val="r"/>
      <c:layout>
        <c:manualLayout>
          <c:xMode val="edge"/>
          <c:yMode val="edge"/>
          <c:x val="0.83662144439393515"/>
          <c:y val="0.39678452992748081"/>
          <c:w val="0.14117315441203651"/>
          <c:h val="0.48479660551814402"/>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Eanes ISD Disciplinary Alternative Education</a:t>
            </a:r>
            <a:r>
              <a:rPr lang="en-US" b="0" baseline="0"/>
              <a:t> </a:t>
            </a:r>
            <a:r>
              <a:rPr lang="en-US" b="0"/>
              <a:t>Program Placements, by Sex</a:t>
            </a:r>
          </a:p>
        </c:rich>
      </c:tx>
      <c:overlay val="0"/>
    </c:title>
    <c:autoTitleDeleted val="0"/>
    <c:plotArea>
      <c:layout/>
      <c:barChart>
        <c:barDir val="col"/>
        <c:grouping val="clustered"/>
        <c:varyColors val="0"/>
        <c:ser>
          <c:idx val="0"/>
          <c:order val="0"/>
          <c:tx>
            <c:strRef>
              <c:f>'By Gender'!$D$5</c:f>
              <c:strCache>
                <c:ptCount val="1"/>
                <c:pt idx="0">
                  <c:v>All Students</c:v>
                </c:pt>
              </c:strCache>
            </c:strRef>
          </c:tx>
          <c:invertIfNegative val="0"/>
          <c:cat>
            <c:strRef>
              <c:f>'By Gender'!$C$43:$C$47</c:f>
              <c:strCache>
                <c:ptCount val="5"/>
                <c:pt idx="0">
                  <c:v>2009-2010</c:v>
                </c:pt>
                <c:pt idx="1">
                  <c:v>2010-2011</c:v>
                </c:pt>
                <c:pt idx="2">
                  <c:v>2011-2012</c:v>
                </c:pt>
                <c:pt idx="3">
                  <c:v>2012-2013</c:v>
                </c:pt>
                <c:pt idx="4">
                  <c:v>2013-2014</c:v>
                </c:pt>
              </c:strCache>
            </c:strRef>
          </c:cat>
          <c:val>
            <c:numRef>
              <c:f>'By Gender'!$D$43:$D$47</c:f>
              <c:numCache>
                <c:formatCode>0.00%</c:formatCode>
                <c:ptCount val="5"/>
                <c:pt idx="0">
                  <c:v>4.4000000000000003E-3</c:v>
                </c:pt>
                <c:pt idx="1">
                  <c:v>7.4999999999999997E-3</c:v>
                </c:pt>
                <c:pt idx="2">
                  <c:v>5.7999999999999996E-3</c:v>
                </c:pt>
                <c:pt idx="3">
                  <c:v>3.8999999999999998E-3</c:v>
                </c:pt>
                <c:pt idx="4">
                  <c:v>4.7000000000000002E-3</c:v>
                </c:pt>
              </c:numCache>
            </c:numRef>
          </c:val>
          <c:extLst>
            <c:ext xmlns:c16="http://schemas.microsoft.com/office/drawing/2014/chart" uri="{C3380CC4-5D6E-409C-BE32-E72D297353CC}">
              <c16:uniqueId val="{00000000-FDEF-4625-9C0E-B77D774C6974}"/>
            </c:ext>
          </c:extLst>
        </c:ser>
        <c:ser>
          <c:idx val="1"/>
          <c:order val="1"/>
          <c:tx>
            <c:strRef>
              <c:f>'By Gender'!$E$5</c:f>
              <c:strCache>
                <c:ptCount val="1"/>
                <c:pt idx="0">
                  <c:v>Female</c:v>
                </c:pt>
              </c:strCache>
            </c:strRef>
          </c:tx>
          <c:invertIfNegative val="0"/>
          <c:cat>
            <c:strRef>
              <c:f>'By Gender'!$C$43:$C$47</c:f>
              <c:strCache>
                <c:ptCount val="5"/>
                <c:pt idx="0">
                  <c:v>2009-2010</c:v>
                </c:pt>
                <c:pt idx="1">
                  <c:v>2010-2011</c:v>
                </c:pt>
                <c:pt idx="2">
                  <c:v>2011-2012</c:v>
                </c:pt>
                <c:pt idx="3">
                  <c:v>2012-2013</c:v>
                </c:pt>
                <c:pt idx="4">
                  <c:v>2013-2014</c:v>
                </c:pt>
              </c:strCache>
            </c:strRef>
          </c:cat>
          <c:val>
            <c:numRef>
              <c:f>'By Gender'!$E$43:$E$47</c:f>
              <c:numCache>
                <c:formatCode>0.00%</c:formatCode>
                <c:ptCount val="5"/>
                <c:pt idx="0">
                  <c:v>1.9E-3</c:v>
                </c:pt>
                <c:pt idx="1">
                  <c:v>5.3E-3</c:v>
                </c:pt>
                <c:pt idx="2">
                  <c:v>2.5999999999999999E-3</c:v>
                </c:pt>
                <c:pt idx="4">
                  <c:v>3.0999999999999999E-3</c:v>
                </c:pt>
              </c:numCache>
            </c:numRef>
          </c:val>
          <c:extLst>
            <c:ext xmlns:c16="http://schemas.microsoft.com/office/drawing/2014/chart" uri="{C3380CC4-5D6E-409C-BE32-E72D297353CC}">
              <c16:uniqueId val="{00000001-FDEF-4625-9C0E-B77D774C6974}"/>
            </c:ext>
          </c:extLst>
        </c:ser>
        <c:ser>
          <c:idx val="2"/>
          <c:order val="2"/>
          <c:tx>
            <c:strRef>
              <c:f>'By Gender'!$F$5</c:f>
              <c:strCache>
                <c:ptCount val="1"/>
                <c:pt idx="0">
                  <c:v>Male</c:v>
                </c:pt>
              </c:strCache>
            </c:strRef>
          </c:tx>
          <c:invertIfNegative val="0"/>
          <c:cat>
            <c:strRef>
              <c:f>'By Gender'!$C$43:$C$47</c:f>
              <c:strCache>
                <c:ptCount val="5"/>
                <c:pt idx="0">
                  <c:v>2009-2010</c:v>
                </c:pt>
                <c:pt idx="1">
                  <c:v>2010-2011</c:v>
                </c:pt>
                <c:pt idx="2">
                  <c:v>2011-2012</c:v>
                </c:pt>
                <c:pt idx="3">
                  <c:v>2012-2013</c:v>
                </c:pt>
                <c:pt idx="4">
                  <c:v>2013-2014</c:v>
                </c:pt>
              </c:strCache>
            </c:strRef>
          </c:cat>
          <c:val>
            <c:numRef>
              <c:f>'By Gender'!$F$43:$F$47</c:f>
              <c:numCache>
                <c:formatCode>0.00%</c:formatCode>
                <c:ptCount val="5"/>
                <c:pt idx="0">
                  <c:v>6.7999999999999996E-3</c:v>
                </c:pt>
                <c:pt idx="1">
                  <c:v>9.4999999999999998E-3</c:v>
                </c:pt>
                <c:pt idx="2">
                  <c:v>8.8000000000000005E-3</c:v>
                </c:pt>
                <c:pt idx="4">
                  <c:v>6.1000000000000004E-3</c:v>
                </c:pt>
              </c:numCache>
            </c:numRef>
          </c:val>
          <c:extLst>
            <c:ext xmlns:c16="http://schemas.microsoft.com/office/drawing/2014/chart" uri="{C3380CC4-5D6E-409C-BE32-E72D297353CC}">
              <c16:uniqueId val="{00000002-FDEF-4625-9C0E-B77D774C6974}"/>
            </c:ext>
          </c:extLst>
        </c:ser>
        <c:dLbls>
          <c:showLegendKey val="0"/>
          <c:showVal val="0"/>
          <c:showCatName val="0"/>
          <c:showSerName val="0"/>
          <c:showPercent val="0"/>
          <c:showBubbleSize val="0"/>
        </c:dLbls>
        <c:gapWidth val="150"/>
        <c:axId val="470008912"/>
        <c:axId val="1"/>
      </c:barChart>
      <c:catAx>
        <c:axId val="470008912"/>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crossAx val="470008912"/>
        <c:crosses val="autoZero"/>
        <c:crossBetween val="between"/>
      </c:valAx>
    </c:plotArea>
    <c:legend>
      <c:legendPos val="r"/>
      <c:layout>
        <c:manualLayout>
          <c:xMode val="edge"/>
          <c:yMode val="edge"/>
          <c:x val="0.74489925818489111"/>
          <c:y val="0.45423860387572296"/>
          <c:w val="0.22857182716906246"/>
          <c:h val="0.30169578914133843"/>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Lago Vista Disciplinary Alternative Education</a:t>
            </a:r>
            <a:r>
              <a:rPr lang="en-US" b="0" baseline="0"/>
              <a:t> </a:t>
            </a:r>
            <a:r>
              <a:rPr lang="en-US" b="0"/>
              <a:t>Program Placements, by Sex</a:t>
            </a:r>
          </a:p>
        </c:rich>
      </c:tx>
      <c:overlay val="0"/>
    </c:title>
    <c:autoTitleDeleted val="0"/>
    <c:plotArea>
      <c:layout/>
      <c:barChart>
        <c:barDir val="col"/>
        <c:grouping val="clustered"/>
        <c:varyColors val="0"/>
        <c:ser>
          <c:idx val="0"/>
          <c:order val="0"/>
          <c:tx>
            <c:strRef>
              <c:f>'By Gender'!$D$5</c:f>
              <c:strCache>
                <c:ptCount val="1"/>
                <c:pt idx="0">
                  <c:v>All Students</c:v>
                </c:pt>
              </c:strCache>
            </c:strRef>
          </c:tx>
          <c:invertIfNegative val="0"/>
          <c:cat>
            <c:strRef>
              <c:f>'By Gender'!$C$57:$C$61</c:f>
              <c:strCache>
                <c:ptCount val="5"/>
                <c:pt idx="0">
                  <c:v>2009-2010</c:v>
                </c:pt>
                <c:pt idx="1">
                  <c:v>2010-2011</c:v>
                </c:pt>
                <c:pt idx="2">
                  <c:v>2011-2012</c:v>
                </c:pt>
                <c:pt idx="3">
                  <c:v>2012-2013</c:v>
                </c:pt>
                <c:pt idx="4">
                  <c:v>2013-2014</c:v>
                </c:pt>
              </c:strCache>
            </c:strRef>
          </c:cat>
          <c:val>
            <c:numRef>
              <c:f>'By Gender'!$D$57:$D$61</c:f>
              <c:numCache>
                <c:formatCode>0.00%</c:formatCode>
                <c:ptCount val="5"/>
                <c:pt idx="0">
                  <c:v>1.7399999999999999E-2</c:v>
                </c:pt>
                <c:pt idx="1">
                  <c:v>1.24E-2</c:v>
                </c:pt>
                <c:pt idx="2">
                  <c:v>2.3300000000000001E-2</c:v>
                </c:pt>
                <c:pt idx="3">
                  <c:v>1.18E-2</c:v>
                </c:pt>
                <c:pt idx="4">
                  <c:v>9.4999999999999998E-3</c:v>
                </c:pt>
              </c:numCache>
            </c:numRef>
          </c:val>
          <c:extLst>
            <c:ext xmlns:c16="http://schemas.microsoft.com/office/drawing/2014/chart" uri="{C3380CC4-5D6E-409C-BE32-E72D297353CC}">
              <c16:uniqueId val="{00000000-AF3A-4D4B-938A-6ECBEB43B10B}"/>
            </c:ext>
          </c:extLst>
        </c:ser>
        <c:ser>
          <c:idx val="1"/>
          <c:order val="1"/>
          <c:tx>
            <c:strRef>
              <c:f>'By Gender'!$E$5</c:f>
              <c:strCache>
                <c:ptCount val="1"/>
                <c:pt idx="0">
                  <c:v>Female</c:v>
                </c:pt>
              </c:strCache>
            </c:strRef>
          </c:tx>
          <c:invertIfNegative val="0"/>
          <c:cat>
            <c:strRef>
              <c:f>'By Gender'!$C$57:$C$61</c:f>
              <c:strCache>
                <c:ptCount val="5"/>
                <c:pt idx="0">
                  <c:v>2009-2010</c:v>
                </c:pt>
                <c:pt idx="1">
                  <c:v>2010-2011</c:v>
                </c:pt>
                <c:pt idx="2">
                  <c:v>2011-2012</c:v>
                </c:pt>
                <c:pt idx="3">
                  <c:v>2012-2013</c:v>
                </c:pt>
                <c:pt idx="4">
                  <c:v>2013-2014</c:v>
                </c:pt>
              </c:strCache>
            </c:strRef>
          </c:cat>
          <c:val>
            <c:numRef>
              <c:f>'By Gender'!$E$57:$E$61</c:f>
              <c:numCache>
                <c:formatCode>0.00%</c:formatCode>
                <c:ptCount val="5"/>
                <c:pt idx="0">
                  <c:v>1.8200000000000001E-2</c:v>
                </c:pt>
                <c:pt idx="2">
                  <c:v>1.0200000000000001E-2</c:v>
                </c:pt>
              </c:numCache>
            </c:numRef>
          </c:val>
          <c:extLst>
            <c:ext xmlns:c16="http://schemas.microsoft.com/office/drawing/2014/chart" uri="{C3380CC4-5D6E-409C-BE32-E72D297353CC}">
              <c16:uniqueId val="{00000001-AF3A-4D4B-938A-6ECBEB43B10B}"/>
            </c:ext>
          </c:extLst>
        </c:ser>
        <c:ser>
          <c:idx val="2"/>
          <c:order val="2"/>
          <c:tx>
            <c:strRef>
              <c:f>'By Gender'!$F$5</c:f>
              <c:strCache>
                <c:ptCount val="1"/>
                <c:pt idx="0">
                  <c:v>Male</c:v>
                </c:pt>
              </c:strCache>
            </c:strRef>
          </c:tx>
          <c:invertIfNegative val="0"/>
          <c:cat>
            <c:strRef>
              <c:f>'By Gender'!$C$57:$C$61</c:f>
              <c:strCache>
                <c:ptCount val="5"/>
                <c:pt idx="0">
                  <c:v>2009-2010</c:v>
                </c:pt>
                <c:pt idx="1">
                  <c:v>2010-2011</c:v>
                </c:pt>
                <c:pt idx="2">
                  <c:v>2011-2012</c:v>
                </c:pt>
                <c:pt idx="3">
                  <c:v>2012-2013</c:v>
                </c:pt>
                <c:pt idx="4">
                  <c:v>2013-2014</c:v>
                </c:pt>
              </c:strCache>
            </c:strRef>
          </c:cat>
          <c:val>
            <c:numRef>
              <c:f>'By Gender'!$F$57:$F$61</c:f>
              <c:numCache>
                <c:formatCode>0.00%</c:formatCode>
                <c:ptCount val="5"/>
                <c:pt idx="0">
                  <c:v>1.6799999999999999E-2</c:v>
                </c:pt>
                <c:pt idx="2">
                  <c:v>3.5499999999999997E-2</c:v>
                </c:pt>
              </c:numCache>
            </c:numRef>
          </c:val>
          <c:extLst>
            <c:ext xmlns:c16="http://schemas.microsoft.com/office/drawing/2014/chart" uri="{C3380CC4-5D6E-409C-BE32-E72D297353CC}">
              <c16:uniqueId val="{00000002-AF3A-4D4B-938A-6ECBEB43B10B}"/>
            </c:ext>
          </c:extLst>
        </c:ser>
        <c:dLbls>
          <c:showLegendKey val="0"/>
          <c:showVal val="0"/>
          <c:showCatName val="0"/>
          <c:showSerName val="0"/>
          <c:showPercent val="0"/>
          <c:showBubbleSize val="0"/>
        </c:dLbls>
        <c:gapWidth val="150"/>
        <c:axId val="470010192"/>
        <c:axId val="1"/>
      </c:barChart>
      <c:catAx>
        <c:axId val="470010192"/>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crossAx val="470010192"/>
        <c:crosses val="autoZero"/>
        <c:crossBetween val="between"/>
      </c:valAx>
    </c:plotArea>
    <c:legend>
      <c:legendPos val="r"/>
      <c:layout>
        <c:manualLayout>
          <c:xMode val="edge"/>
          <c:yMode val="edge"/>
          <c:x val="0.74541918318120926"/>
          <c:y val="0.45423860387572296"/>
          <c:w val="0.22810641671118972"/>
          <c:h val="0.30169578914133843"/>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Lake Travis Disciplinary Alternative Education</a:t>
            </a:r>
            <a:r>
              <a:rPr lang="en-US" b="0" baseline="0"/>
              <a:t> </a:t>
            </a:r>
            <a:r>
              <a:rPr lang="en-US" b="0"/>
              <a:t>Program Placements, by Sex</a:t>
            </a:r>
          </a:p>
        </c:rich>
      </c:tx>
      <c:overlay val="0"/>
    </c:title>
    <c:autoTitleDeleted val="0"/>
    <c:plotArea>
      <c:layout/>
      <c:barChart>
        <c:barDir val="col"/>
        <c:grouping val="clustered"/>
        <c:varyColors val="0"/>
        <c:ser>
          <c:idx val="0"/>
          <c:order val="0"/>
          <c:tx>
            <c:strRef>
              <c:f>'By Gender'!$D$5</c:f>
              <c:strCache>
                <c:ptCount val="1"/>
                <c:pt idx="0">
                  <c:v>All Students</c:v>
                </c:pt>
              </c:strCache>
            </c:strRef>
          </c:tx>
          <c:invertIfNegative val="0"/>
          <c:cat>
            <c:strRef>
              <c:f>'By Gender'!$C$87:$C$91</c:f>
              <c:strCache>
                <c:ptCount val="5"/>
                <c:pt idx="0">
                  <c:v>2009-2010</c:v>
                </c:pt>
                <c:pt idx="1">
                  <c:v>2010-2011</c:v>
                </c:pt>
                <c:pt idx="2">
                  <c:v>2011-2012</c:v>
                </c:pt>
                <c:pt idx="3">
                  <c:v>2012-2013</c:v>
                </c:pt>
                <c:pt idx="4">
                  <c:v>2013-2014</c:v>
                </c:pt>
              </c:strCache>
            </c:strRef>
          </c:cat>
          <c:val>
            <c:numRef>
              <c:f>'By Gender'!$D$87:$D$91</c:f>
              <c:numCache>
                <c:formatCode>0.00%</c:formatCode>
                <c:ptCount val="5"/>
                <c:pt idx="0">
                  <c:v>1.26E-2</c:v>
                </c:pt>
                <c:pt idx="1">
                  <c:v>9.7999999999999997E-3</c:v>
                </c:pt>
                <c:pt idx="2">
                  <c:v>9.4999999999999998E-3</c:v>
                </c:pt>
                <c:pt idx="3">
                  <c:v>9.7000000000000003E-3</c:v>
                </c:pt>
                <c:pt idx="4">
                  <c:v>6.8999999999999999E-3</c:v>
                </c:pt>
              </c:numCache>
            </c:numRef>
          </c:val>
          <c:extLst>
            <c:ext xmlns:c16="http://schemas.microsoft.com/office/drawing/2014/chart" uri="{C3380CC4-5D6E-409C-BE32-E72D297353CC}">
              <c16:uniqueId val="{00000000-B1D4-4D08-81E5-AF13C1614934}"/>
            </c:ext>
          </c:extLst>
        </c:ser>
        <c:ser>
          <c:idx val="1"/>
          <c:order val="1"/>
          <c:tx>
            <c:strRef>
              <c:f>'By Gender'!$E$5</c:f>
              <c:strCache>
                <c:ptCount val="1"/>
                <c:pt idx="0">
                  <c:v>Female</c:v>
                </c:pt>
              </c:strCache>
            </c:strRef>
          </c:tx>
          <c:invertIfNegative val="0"/>
          <c:cat>
            <c:strRef>
              <c:f>'By Gender'!$C$87:$C$91</c:f>
              <c:strCache>
                <c:ptCount val="5"/>
                <c:pt idx="0">
                  <c:v>2009-2010</c:v>
                </c:pt>
                <c:pt idx="1">
                  <c:v>2010-2011</c:v>
                </c:pt>
                <c:pt idx="2">
                  <c:v>2011-2012</c:v>
                </c:pt>
                <c:pt idx="3">
                  <c:v>2012-2013</c:v>
                </c:pt>
                <c:pt idx="4">
                  <c:v>2013-2014</c:v>
                </c:pt>
              </c:strCache>
            </c:strRef>
          </c:cat>
          <c:val>
            <c:numRef>
              <c:f>'By Gender'!$E$87:$E$91</c:f>
              <c:numCache>
                <c:formatCode>0.00%</c:formatCode>
                <c:ptCount val="5"/>
                <c:pt idx="0">
                  <c:v>4.8999999999999998E-3</c:v>
                </c:pt>
                <c:pt idx="1">
                  <c:v>5.4999999999999997E-3</c:v>
                </c:pt>
                <c:pt idx="2">
                  <c:v>3.0000000000000001E-3</c:v>
                </c:pt>
                <c:pt idx="3">
                  <c:v>5.4999999999999997E-3</c:v>
                </c:pt>
                <c:pt idx="4">
                  <c:v>3.7000000000000002E-3</c:v>
                </c:pt>
              </c:numCache>
            </c:numRef>
          </c:val>
          <c:extLst>
            <c:ext xmlns:c16="http://schemas.microsoft.com/office/drawing/2014/chart" uri="{C3380CC4-5D6E-409C-BE32-E72D297353CC}">
              <c16:uniqueId val="{00000001-B1D4-4D08-81E5-AF13C1614934}"/>
            </c:ext>
          </c:extLst>
        </c:ser>
        <c:ser>
          <c:idx val="2"/>
          <c:order val="2"/>
          <c:tx>
            <c:strRef>
              <c:f>'By Gender'!$F$5</c:f>
              <c:strCache>
                <c:ptCount val="1"/>
                <c:pt idx="0">
                  <c:v>Male</c:v>
                </c:pt>
              </c:strCache>
            </c:strRef>
          </c:tx>
          <c:invertIfNegative val="0"/>
          <c:cat>
            <c:strRef>
              <c:f>'By Gender'!$C$87:$C$91</c:f>
              <c:strCache>
                <c:ptCount val="5"/>
                <c:pt idx="0">
                  <c:v>2009-2010</c:v>
                </c:pt>
                <c:pt idx="1">
                  <c:v>2010-2011</c:v>
                </c:pt>
                <c:pt idx="2">
                  <c:v>2011-2012</c:v>
                </c:pt>
                <c:pt idx="3">
                  <c:v>2012-2013</c:v>
                </c:pt>
                <c:pt idx="4">
                  <c:v>2013-2014</c:v>
                </c:pt>
              </c:strCache>
            </c:strRef>
          </c:cat>
          <c:val>
            <c:numRef>
              <c:f>'By Gender'!$F$87:$F$91</c:f>
              <c:numCache>
                <c:formatCode>0.00%</c:formatCode>
                <c:ptCount val="5"/>
                <c:pt idx="0">
                  <c:v>1.95E-2</c:v>
                </c:pt>
                <c:pt idx="1">
                  <c:v>1.37E-2</c:v>
                </c:pt>
                <c:pt idx="2">
                  <c:v>1.54E-2</c:v>
                </c:pt>
                <c:pt idx="3">
                  <c:v>1.34E-2</c:v>
                </c:pt>
                <c:pt idx="4">
                  <c:v>9.7000000000000003E-3</c:v>
                </c:pt>
              </c:numCache>
            </c:numRef>
          </c:val>
          <c:extLst>
            <c:ext xmlns:c16="http://schemas.microsoft.com/office/drawing/2014/chart" uri="{C3380CC4-5D6E-409C-BE32-E72D297353CC}">
              <c16:uniqueId val="{00000002-B1D4-4D08-81E5-AF13C1614934}"/>
            </c:ext>
          </c:extLst>
        </c:ser>
        <c:dLbls>
          <c:showLegendKey val="0"/>
          <c:showVal val="0"/>
          <c:showCatName val="0"/>
          <c:showSerName val="0"/>
          <c:showPercent val="0"/>
          <c:showBubbleSize val="0"/>
        </c:dLbls>
        <c:gapWidth val="150"/>
        <c:axId val="465556144"/>
        <c:axId val="1"/>
      </c:barChart>
      <c:catAx>
        <c:axId val="465556144"/>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crossAx val="465556144"/>
        <c:crosses val="autoZero"/>
        <c:crossBetween val="between"/>
      </c:valAx>
    </c:plotArea>
    <c:legend>
      <c:legendPos val="r"/>
      <c:layout>
        <c:manualLayout>
          <c:xMode val="edge"/>
          <c:yMode val="edge"/>
          <c:x val="0.74489925818489111"/>
          <c:y val="0.45608277387669122"/>
          <c:w val="0.22857182716906246"/>
          <c:h val="0.30067679166685568"/>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Leander Disciplinary Alternative Education</a:t>
            </a:r>
            <a:r>
              <a:rPr lang="en-US" b="0" baseline="0"/>
              <a:t> </a:t>
            </a:r>
            <a:r>
              <a:rPr lang="en-US" b="0"/>
              <a:t>Program Placements, by Sex</a:t>
            </a:r>
          </a:p>
        </c:rich>
      </c:tx>
      <c:overlay val="0"/>
    </c:title>
    <c:autoTitleDeleted val="0"/>
    <c:plotArea>
      <c:layout/>
      <c:barChart>
        <c:barDir val="col"/>
        <c:grouping val="clustered"/>
        <c:varyColors val="0"/>
        <c:ser>
          <c:idx val="0"/>
          <c:order val="0"/>
          <c:tx>
            <c:strRef>
              <c:f>'By Gender'!$D$5</c:f>
              <c:strCache>
                <c:ptCount val="1"/>
                <c:pt idx="0">
                  <c:v>All Students</c:v>
                </c:pt>
              </c:strCache>
            </c:strRef>
          </c:tx>
          <c:invertIfNegative val="0"/>
          <c:cat>
            <c:strRef>
              <c:f>'By Gender'!$C$72:$C$76</c:f>
              <c:strCache>
                <c:ptCount val="5"/>
                <c:pt idx="0">
                  <c:v>2009-2010</c:v>
                </c:pt>
                <c:pt idx="1">
                  <c:v>2010-2011</c:v>
                </c:pt>
                <c:pt idx="2">
                  <c:v>2011-2012</c:v>
                </c:pt>
                <c:pt idx="3">
                  <c:v>2012-2013</c:v>
                </c:pt>
                <c:pt idx="4">
                  <c:v>2013-2014</c:v>
                </c:pt>
              </c:strCache>
            </c:strRef>
          </c:cat>
          <c:val>
            <c:numRef>
              <c:f>'By Gender'!$D$72:$D$76</c:f>
              <c:numCache>
                <c:formatCode>0.00%</c:formatCode>
                <c:ptCount val="5"/>
                <c:pt idx="0">
                  <c:v>1.35E-2</c:v>
                </c:pt>
                <c:pt idx="1">
                  <c:v>1.2500000000000001E-2</c:v>
                </c:pt>
                <c:pt idx="2">
                  <c:v>1.18E-2</c:v>
                </c:pt>
                <c:pt idx="3">
                  <c:v>9.5999999999999992E-3</c:v>
                </c:pt>
                <c:pt idx="4">
                  <c:v>9.7000000000000003E-3</c:v>
                </c:pt>
              </c:numCache>
            </c:numRef>
          </c:val>
          <c:extLst>
            <c:ext xmlns:c16="http://schemas.microsoft.com/office/drawing/2014/chart" uri="{C3380CC4-5D6E-409C-BE32-E72D297353CC}">
              <c16:uniqueId val="{00000000-E205-4A20-907D-075AF8CFE241}"/>
            </c:ext>
          </c:extLst>
        </c:ser>
        <c:ser>
          <c:idx val="1"/>
          <c:order val="1"/>
          <c:tx>
            <c:strRef>
              <c:f>'By Gender'!$E$5</c:f>
              <c:strCache>
                <c:ptCount val="1"/>
                <c:pt idx="0">
                  <c:v>Female</c:v>
                </c:pt>
              </c:strCache>
            </c:strRef>
          </c:tx>
          <c:invertIfNegative val="0"/>
          <c:cat>
            <c:strRef>
              <c:f>'By Gender'!$C$72:$C$76</c:f>
              <c:strCache>
                <c:ptCount val="5"/>
                <c:pt idx="0">
                  <c:v>2009-2010</c:v>
                </c:pt>
                <c:pt idx="1">
                  <c:v>2010-2011</c:v>
                </c:pt>
                <c:pt idx="2">
                  <c:v>2011-2012</c:v>
                </c:pt>
                <c:pt idx="3">
                  <c:v>2012-2013</c:v>
                </c:pt>
                <c:pt idx="4">
                  <c:v>2013-2014</c:v>
                </c:pt>
              </c:strCache>
            </c:strRef>
          </c:cat>
          <c:val>
            <c:numRef>
              <c:f>'By Gender'!$E$72:$E$76</c:f>
              <c:numCache>
                <c:formatCode>0.00%</c:formatCode>
                <c:ptCount val="5"/>
                <c:pt idx="0">
                  <c:v>6.0000000000000001E-3</c:v>
                </c:pt>
                <c:pt idx="1">
                  <c:v>5.7999999999999996E-3</c:v>
                </c:pt>
                <c:pt idx="2">
                  <c:v>5.4999999999999997E-3</c:v>
                </c:pt>
                <c:pt idx="3">
                  <c:v>3.3999999999999998E-3</c:v>
                </c:pt>
                <c:pt idx="4">
                  <c:v>4.0000000000000001E-3</c:v>
                </c:pt>
              </c:numCache>
            </c:numRef>
          </c:val>
          <c:extLst>
            <c:ext xmlns:c16="http://schemas.microsoft.com/office/drawing/2014/chart" uri="{C3380CC4-5D6E-409C-BE32-E72D297353CC}">
              <c16:uniqueId val="{00000001-E205-4A20-907D-075AF8CFE241}"/>
            </c:ext>
          </c:extLst>
        </c:ser>
        <c:ser>
          <c:idx val="2"/>
          <c:order val="2"/>
          <c:tx>
            <c:strRef>
              <c:f>'By Gender'!$F$5</c:f>
              <c:strCache>
                <c:ptCount val="1"/>
                <c:pt idx="0">
                  <c:v>Male</c:v>
                </c:pt>
              </c:strCache>
            </c:strRef>
          </c:tx>
          <c:invertIfNegative val="0"/>
          <c:cat>
            <c:strRef>
              <c:f>'By Gender'!$C$72:$C$76</c:f>
              <c:strCache>
                <c:ptCount val="5"/>
                <c:pt idx="0">
                  <c:v>2009-2010</c:v>
                </c:pt>
                <c:pt idx="1">
                  <c:v>2010-2011</c:v>
                </c:pt>
                <c:pt idx="2">
                  <c:v>2011-2012</c:v>
                </c:pt>
                <c:pt idx="3">
                  <c:v>2012-2013</c:v>
                </c:pt>
                <c:pt idx="4">
                  <c:v>2013-2014</c:v>
                </c:pt>
              </c:strCache>
            </c:strRef>
          </c:cat>
          <c:val>
            <c:numRef>
              <c:f>'By Gender'!$F$72:$F$76</c:f>
              <c:numCache>
                <c:formatCode>0.00%</c:formatCode>
                <c:ptCount val="5"/>
                <c:pt idx="0">
                  <c:v>2.06E-2</c:v>
                </c:pt>
                <c:pt idx="1">
                  <c:v>1.89E-2</c:v>
                </c:pt>
                <c:pt idx="2">
                  <c:v>1.77E-2</c:v>
                </c:pt>
                <c:pt idx="3">
                  <c:v>1.54E-2</c:v>
                </c:pt>
                <c:pt idx="4">
                  <c:v>1.52E-2</c:v>
                </c:pt>
              </c:numCache>
            </c:numRef>
          </c:val>
          <c:extLst>
            <c:ext xmlns:c16="http://schemas.microsoft.com/office/drawing/2014/chart" uri="{C3380CC4-5D6E-409C-BE32-E72D297353CC}">
              <c16:uniqueId val="{00000002-E205-4A20-907D-075AF8CFE241}"/>
            </c:ext>
          </c:extLst>
        </c:ser>
        <c:dLbls>
          <c:showLegendKey val="0"/>
          <c:showVal val="0"/>
          <c:showCatName val="0"/>
          <c:showSerName val="0"/>
          <c:showPercent val="0"/>
          <c:showBubbleSize val="0"/>
        </c:dLbls>
        <c:gapWidth val="150"/>
        <c:axId val="531451728"/>
        <c:axId val="1"/>
      </c:barChart>
      <c:catAx>
        <c:axId val="531451728"/>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00%" sourceLinked="1"/>
        <c:majorTickMark val="none"/>
        <c:minorTickMark val="none"/>
        <c:tickLblPos val="nextTo"/>
        <c:crossAx val="531451728"/>
        <c:crosses val="autoZero"/>
        <c:crossBetween val="between"/>
      </c:valAx>
    </c:plotArea>
    <c:legend>
      <c:legendPos val="r"/>
      <c:layout>
        <c:manualLayout>
          <c:xMode val="edge"/>
          <c:yMode val="edge"/>
          <c:x val="0.74489925818489111"/>
          <c:y val="0.45423860387572296"/>
          <c:w val="0.22857182716906246"/>
          <c:h val="0.30169578914133843"/>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Austin ISD, Top Reasons for Disciplinary Alternative Education Program (DAEP) Placements,</a:t>
            </a:r>
          </a:p>
          <a:p>
            <a:pPr>
              <a:defRPr b="0"/>
            </a:pPr>
            <a:r>
              <a:rPr lang="en-US" b="0"/>
              <a:t>By</a:t>
            </a:r>
            <a:r>
              <a:rPr lang="en-US" b="0" baseline="0"/>
              <a:t> Number of</a:t>
            </a:r>
            <a:r>
              <a:rPr lang="en-US" b="0"/>
              <a:t> Students, School Year 2013-2014</a:t>
            </a:r>
          </a:p>
        </c:rich>
      </c:tx>
      <c:overlay val="0"/>
    </c:title>
    <c:autoTitleDeleted val="0"/>
    <c:plotArea>
      <c:layout>
        <c:manualLayout>
          <c:layoutTarget val="inner"/>
          <c:xMode val="edge"/>
          <c:yMode val="edge"/>
          <c:x val="0.11811863517060367"/>
          <c:y val="0.20863439239906331"/>
          <c:w val="0.86129754650233936"/>
          <c:h val="0.38719669475277857"/>
        </c:manualLayout>
      </c:layout>
      <c:barChart>
        <c:barDir val="col"/>
        <c:grouping val="clustered"/>
        <c:varyColors val="0"/>
        <c:ser>
          <c:idx val="0"/>
          <c:order val="0"/>
          <c:tx>
            <c:strRef>
              <c:f>'Reasons for DAEP Placement'!$C$5</c:f>
              <c:strCache>
                <c:ptCount val="1"/>
                <c:pt idx="0">
                  <c:v>DAEP Students</c:v>
                </c:pt>
              </c:strCache>
            </c:strRef>
          </c:tx>
          <c:invertIfNegative val="0"/>
          <c:cat>
            <c:strRef>
              <c:f>'Reasons for DAEP Placement'!$B$6:$B$10</c:f>
              <c:strCache>
                <c:ptCount val="5"/>
                <c:pt idx="0">
                  <c:v>Controlled Substance/Drugs</c:v>
                </c:pt>
                <c:pt idx="1">
                  <c:v>Violated Local Code of Conduct</c:v>
                </c:pt>
                <c:pt idx="2">
                  <c:v>Assault- Non-District Employee</c:v>
                </c:pt>
                <c:pt idx="3">
                  <c:v>Emergency Placement/Expulsion</c:v>
                </c:pt>
                <c:pt idx="4">
                  <c:v>Alcohol Violation</c:v>
                </c:pt>
              </c:strCache>
            </c:strRef>
          </c:cat>
          <c:val>
            <c:numRef>
              <c:f>'Reasons for DAEP Placement'!$C$6:$C$10</c:f>
              <c:numCache>
                <c:formatCode>General</c:formatCode>
                <c:ptCount val="5"/>
                <c:pt idx="0">
                  <c:v>694</c:v>
                </c:pt>
                <c:pt idx="1">
                  <c:v>261</c:v>
                </c:pt>
                <c:pt idx="2">
                  <c:v>106</c:v>
                </c:pt>
                <c:pt idx="3">
                  <c:v>96</c:v>
                </c:pt>
                <c:pt idx="4">
                  <c:v>55</c:v>
                </c:pt>
              </c:numCache>
            </c:numRef>
          </c:val>
          <c:extLst>
            <c:ext xmlns:c16="http://schemas.microsoft.com/office/drawing/2014/chart" uri="{C3380CC4-5D6E-409C-BE32-E72D297353CC}">
              <c16:uniqueId val="{00000000-80AC-4EC7-8EAC-F3DC176F5B13}"/>
            </c:ext>
          </c:extLst>
        </c:ser>
        <c:dLbls>
          <c:showLegendKey val="0"/>
          <c:showVal val="0"/>
          <c:showCatName val="0"/>
          <c:showSerName val="0"/>
          <c:showPercent val="0"/>
          <c:showBubbleSize val="0"/>
        </c:dLbls>
        <c:gapWidth val="150"/>
        <c:axId val="542050704"/>
        <c:axId val="1"/>
      </c:barChart>
      <c:catAx>
        <c:axId val="542050704"/>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crossAx val="542050704"/>
        <c:crosses val="autoZero"/>
        <c:crossBetween val="between"/>
      </c:valAx>
    </c:plotArea>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Discretionary Removal Actions to DAEP as a Percentage of Cumulative Student Enrollment</a:t>
            </a:r>
          </a:p>
        </c:rich>
      </c:tx>
      <c:overlay val="0"/>
    </c:title>
    <c:autoTitleDeleted val="0"/>
    <c:plotArea>
      <c:layout>
        <c:manualLayout>
          <c:layoutTarget val="inner"/>
          <c:xMode val="edge"/>
          <c:yMode val="edge"/>
          <c:x val="5.6447008295086108E-2"/>
          <c:y val="0.14420891467513933"/>
          <c:w val="0.75878967535475172"/>
          <c:h val="0.72888773771699589"/>
        </c:manualLayout>
      </c:layout>
      <c:barChart>
        <c:barDir val="col"/>
        <c:grouping val="clustered"/>
        <c:varyColors val="0"/>
        <c:ser>
          <c:idx val="0"/>
          <c:order val="0"/>
          <c:tx>
            <c:strRef>
              <c:f>'Discretionary Removals'!$B$2</c:f>
              <c:strCache>
                <c:ptCount val="1"/>
                <c:pt idx="0">
                  <c:v>2005-2006</c:v>
                </c:pt>
              </c:strCache>
            </c:strRef>
          </c:tx>
          <c:invertIfNegative val="0"/>
          <c:cat>
            <c:strRef>
              <c:f>'Discretionary Removals'!$A$3:$A$11</c:f>
              <c:strCache>
                <c:ptCount val="9"/>
                <c:pt idx="0">
                  <c:v>Austin ISD</c:v>
                </c:pt>
                <c:pt idx="1">
                  <c:v>Del Valle ISD</c:v>
                </c:pt>
                <c:pt idx="2">
                  <c:v>Eanes ISD</c:v>
                </c:pt>
                <c:pt idx="3">
                  <c:v>Lago Vista ISD</c:v>
                </c:pt>
                <c:pt idx="4">
                  <c:v>Leander ISD</c:v>
                </c:pt>
                <c:pt idx="5">
                  <c:v>Lake Travis ISD</c:v>
                </c:pt>
                <c:pt idx="6">
                  <c:v>Manor ISD</c:v>
                </c:pt>
                <c:pt idx="7">
                  <c:v>Pflugerville ISD</c:v>
                </c:pt>
                <c:pt idx="8">
                  <c:v>Texas</c:v>
                </c:pt>
              </c:strCache>
            </c:strRef>
          </c:cat>
          <c:val>
            <c:numRef>
              <c:f>'Discretionary Removals'!$B$3:$B$11</c:f>
              <c:numCache>
                <c:formatCode>0.0%</c:formatCode>
                <c:ptCount val="9"/>
                <c:pt idx="0">
                  <c:v>9.895664062937768E-3</c:v>
                </c:pt>
                <c:pt idx="1">
                  <c:v>5.176372364850762E-2</c:v>
                </c:pt>
                <c:pt idx="2">
                  <c:v>4.1908881979180745E-3</c:v>
                </c:pt>
                <c:pt idx="3">
                  <c:v>9.2735703245749607E-3</c:v>
                </c:pt>
                <c:pt idx="4">
                  <c:v>1.9513218631976501E-2</c:v>
                </c:pt>
                <c:pt idx="5">
                  <c:v>1.5711480092840565E-2</c:v>
                </c:pt>
                <c:pt idx="6">
                  <c:v>1.1840888066604995E-2</c:v>
                </c:pt>
                <c:pt idx="7">
                  <c:v>8.5715653881147345E-3</c:v>
                </c:pt>
              </c:numCache>
            </c:numRef>
          </c:val>
          <c:extLst>
            <c:ext xmlns:c16="http://schemas.microsoft.com/office/drawing/2014/chart" uri="{C3380CC4-5D6E-409C-BE32-E72D297353CC}">
              <c16:uniqueId val="{00000000-FF0F-4855-B4F6-09BC245B7A95}"/>
            </c:ext>
          </c:extLst>
        </c:ser>
        <c:ser>
          <c:idx val="1"/>
          <c:order val="1"/>
          <c:tx>
            <c:strRef>
              <c:f>'Discretionary Removals'!$C$2</c:f>
              <c:strCache>
                <c:ptCount val="1"/>
                <c:pt idx="0">
                  <c:v>2006-2007</c:v>
                </c:pt>
              </c:strCache>
            </c:strRef>
          </c:tx>
          <c:invertIfNegative val="0"/>
          <c:cat>
            <c:strRef>
              <c:f>'Discretionary Removals'!$A$3:$A$11</c:f>
              <c:strCache>
                <c:ptCount val="9"/>
                <c:pt idx="0">
                  <c:v>Austin ISD</c:v>
                </c:pt>
                <c:pt idx="1">
                  <c:v>Del Valle ISD</c:v>
                </c:pt>
                <c:pt idx="2">
                  <c:v>Eanes ISD</c:v>
                </c:pt>
                <c:pt idx="3">
                  <c:v>Lago Vista ISD</c:v>
                </c:pt>
                <c:pt idx="4">
                  <c:v>Leander ISD</c:v>
                </c:pt>
                <c:pt idx="5">
                  <c:v>Lake Travis ISD</c:v>
                </c:pt>
                <c:pt idx="6">
                  <c:v>Manor ISD</c:v>
                </c:pt>
                <c:pt idx="7">
                  <c:v>Pflugerville ISD</c:v>
                </c:pt>
                <c:pt idx="8">
                  <c:v>Texas</c:v>
                </c:pt>
              </c:strCache>
            </c:strRef>
          </c:cat>
          <c:val>
            <c:numRef>
              <c:f>'Discretionary Removals'!$C$3:$C$11</c:f>
              <c:numCache>
                <c:formatCode>0.0%</c:formatCode>
                <c:ptCount val="9"/>
                <c:pt idx="0">
                  <c:v>1.1653991968952599E-2</c:v>
                </c:pt>
                <c:pt idx="1">
                  <c:v>5.4098027252389672E-2</c:v>
                </c:pt>
                <c:pt idx="2">
                  <c:v>5.5018786902844875E-3</c:v>
                </c:pt>
                <c:pt idx="3">
                  <c:v>9.104704097116844E-3</c:v>
                </c:pt>
                <c:pt idx="4">
                  <c:v>1.8077364994255076E-2</c:v>
                </c:pt>
                <c:pt idx="5">
                  <c:v>1.4920311970159377E-2</c:v>
                </c:pt>
                <c:pt idx="6">
                  <c:v>4.827701015481938E-3</c:v>
                </c:pt>
                <c:pt idx="7">
                  <c:v>8.8876672164192785E-3</c:v>
                </c:pt>
              </c:numCache>
            </c:numRef>
          </c:val>
          <c:extLst>
            <c:ext xmlns:c16="http://schemas.microsoft.com/office/drawing/2014/chart" uri="{C3380CC4-5D6E-409C-BE32-E72D297353CC}">
              <c16:uniqueId val="{00000001-FF0F-4855-B4F6-09BC245B7A95}"/>
            </c:ext>
          </c:extLst>
        </c:ser>
        <c:ser>
          <c:idx val="2"/>
          <c:order val="2"/>
          <c:tx>
            <c:strRef>
              <c:f>'Discretionary Removals'!$D$2</c:f>
              <c:strCache>
                <c:ptCount val="1"/>
                <c:pt idx="0">
                  <c:v>2007-2008</c:v>
                </c:pt>
              </c:strCache>
            </c:strRef>
          </c:tx>
          <c:invertIfNegative val="0"/>
          <c:cat>
            <c:strRef>
              <c:f>'Discretionary Removals'!$A$3:$A$11</c:f>
              <c:strCache>
                <c:ptCount val="9"/>
                <c:pt idx="0">
                  <c:v>Austin ISD</c:v>
                </c:pt>
                <c:pt idx="1">
                  <c:v>Del Valle ISD</c:v>
                </c:pt>
                <c:pt idx="2">
                  <c:v>Eanes ISD</c:v>
                </c:pt>
                <c:pt idx="3">
                  <c:v>Lago Vista ISD</c:v>
                </c:pt>
                <c:pt idx="4">
                  <c:v>Leander ISD</c:v>
                </c:pt>
                <c:pt idx="5">
                  <c:v>Lake Travis ISD</c:v>
                </c:pt>
                <c:pt idx="6">
                  <c:v>Manor ISD</c:v>
                </c:pt>
                <c:pt idx="7">
                  <c:v>Pflugerville ISD</c:v>
                </c:pt>
                <c:pt idx="8">
                  <c:v>Texas</c:v>
                </c:pt>
              </c:strCache>
            </c:strRef>
          </c:cat>
          <c:val>
            <c:numRef>
              <c:f>'Discretionary Removals'!$D$3:$D$11</c:f>
              <c:numCache>
                <c:formatCode>0.0%</c:formatCode>
                <c:ptCount val="9"/>
                <c:pt idx="0">
                  <c:v>1.2103519901195755E-2</c:v>
                </c:pt>
                <c:pt idx="1">
                  <c:v>5.9085625726462608E-2</c:v>
                </c:pt>
                <c:pt idx="2">
                  <c:v>2.008032128514056E-3</c:v>
                </c:pt>
                <c:pt idx="3">
                  <c:v>0</c:v>
                </c:pt>
                <c:pt idx="4">
                  <c:v>1.4741403807899971E-2</c:v>
                </c:pt>
                <c:pt idx="5">
                  <c:v>9.4678419849820433E-3</c:v>
                </c:pt>
                <c:pt idx="6">
                  <c:v>4.2384304328291149E-2</c:v>
                </c:pt>
                <c:pt idx="7">
                  <c:v>1.1229497325257527E-2</c:v>
                </c:pt>
                <c:pt idx="8">
                  <c:v>1.9587804710020727E-2</c:v>
                </c:pt>
              </c:numCache>
            </c:numRef>
          </c:val>
          <c:extLst>
            <c:ext xmlns:c16="http://schemas.microsoft.com/office/drawing/2014/chart" uri="{C3380CC4-5D6E-409C-BE32-E72D297353CC}">
              <c16:uniqueId val="{00000002-FF0F-4855-B4F6-09BC245B7A95}"/>
            </c:ext>
          </c:extLst>
        </c:ser>
        <c:ser>
          <c:idx val="3"/>
          <c:order val="3"/>
          <c:tx>
            <c:strRef>
              <c:f>'Discretionary Removals'!$E$2</c:f>
              <c:strCache>
                <c:ptCount val="1"/>
                <c:pt idx="0">
                  <c:v>2008-2009</c:v>
                </c:pt>
              </c:strCache>
            </c:strRef>
          </c:tx>
          <c:invertIfNegative val="0"/>
          <c:cat>
            <c:strRef>
              <c:f>'Discretionary Removals'!$A$3:$A$11</c:f>
              <c:strCache>
                <c:ptCount val="9"/>
                <c:pt idx="0">
                  <c:v>Austin ISD</c:v>
                </c:pt>
                <c:pt idx="1">
                  <c:v>Del Valle ISD</c:v>
                </c:pt>
                <c:pt idx="2">
                  <c:v>Eanes ISD</c:v>
                </c:pt>
                <c:pt idx="3">
                  <c:v>Lago Vista ISD</c:v>
                </c:pt>
                <c:pt idx="4">
                  <c:v>Leander ISD</c:v>
                </c:pt>
                <c:pt idx="5">
                  <c:v>Lake Travis ISD</c:v>
                </c:pt>
                <c:pt idx="6">
                  <c:v>Manor ISD</c:v>
                </c:pt>
                <c:pt idx="7">
                  <c:v>Pflugerville ISD</c:v>
                </c:pt>
                <c:pt idx="8">
                  <c:v>Texas</c:v>
                </c:pt>
              </c:strCache>
            </c:strRef>
          </c:cat>
          <c:val>
            <c:numRef>
              <c:f>'Discretionary Removals'!$E$3:$E$11</c:f>
              <c:numCache>
                <c:formatCode>0.0%</c:formatCode>
                <c:ptCount val="9"/>
                <c:pt idx="0">
                  <c:v>1.5283355644801428E-2</c:v>
                </c:pt>
                <c:pt idx="1">
                  <c:v>0</c:v>
                </c:pt>
                <c:pt idx="2">
                  <c:v>2.3822128110111171E-3</c:v>
                </c:pt>
                <c:pt idx="3">
                  <c:v>1.4264264264264264E-2</c:v>
                </c:pt>
                <c:pt idx="4">
                  <c:v>1.5391791044776119E-2</c:v>
                </c:pt>
                <c:pt idx="5">
                  <c:v>4.1886441203847343E-3</c:v>
                </c:pt>
                <c:pt idx="6">
                  <c:v>2.7118167767317691E-2</c:v>
                </c:pt>
                <c:pt idx="7">
                  <c:v>1.2166488794023479E-2</c:v>
                </c:pt>
                <c:pt idx="8">
                  <c:v>1.7608918342003309E-2</c:v>
                </c:pt>
              </c:numCache>
            </c:numRef>
          </c:val>
          <c:extLst>
            <c:ext xmlns:c16="http://schemas.microsoft.com/office/drawing/2014/chart" uri="{C3380CC4-5D6E-409C-BE32-E72D297353CC}">
              <c16:uniqueId val="{00000003-FF0F-4855-B4F6-09BC245B7A95}"/>
            </c:ext>
          </c:extLst>
        </c:ser>
        <c:ser>
          <c:idx val="4"/>
          <c:order val="4"/>
          <c:tx>
            <c:strRef>
              <c:f>'Discretionary Removals'!$F$2</c:f>
              <c:strCache>
                <c:ptCount val="1"/>
                <c:pt idx="0">
                  <c:v>2009-2010</c:v>
                </c:pt>
              </c:strCache>
            </c:strRef>
          </c:tx>
          <c:invertIfNegative val="0"/>
          <c:cat>
            <c:strRef>
              <c:f>'Discretionary Removals'!$A$3:$A$11</c:f>
              <c:strCache>
                <c:ptCount val="9"/>
                <c:pt idx="0">
                  <c:v>Austin ISD</c:v>
                </c:pt>
                <c:pt idx="1">
                  <c:v>Del Valle ISD</c:v>
                </c:pt>
                <c:pt idx="2">
                  <c:v>Eanes ISD</c:v>
                </c:pt>
                <c:pt idx="3">
                  <c:v>Lago Vista ISD</c:v>
                </c:pt>
                <c:pt idx="4">
                  <c:v>Leander ISD</c:v>
                </c:pt>
                <c:pt idx="5">
                  <c:v>Lake Travis ISD</c:v>
                </c:pt>
                <c:pt idx="6">
                  <c:v>Manor ISD</c:v>
                </c:pt>
                <c:pt idx="7">
                  <c:v>Pflugerville ISD</c:v>
                </c:pt>
                <c:pt idx="8">
                  <c:v>Texas</c:v>
                </c:pt>
              </c:strCache>
            </c:strRef>
          </c:cat>
          <c:val>
            <c:numRef>
              <c:f>'Discretionary Removals'!$F$3:$F$11</c:f>
              <c:numCache>
                <c:formatCode>0.0%</c:formatCode>
                <c:ptCount val="9"/>
                <c:pt idx="0">
                  <c:v>1.4133497710461429E-2</c:v>
                </c:pt>
                <c:pt idx="1">
                  <c:v>4.7752317649116673E-2</c:v>
                </c:pt>
                <c:pt idx="2">
                  <c:v>1.5616866215512754E-3</c:v>
                </c:pt>
                <c:pt idx="3">
                  <c:v>1.1355034065102196E-2</c:v>
                </c:pt>
                <c:pt idx="4">
                  <c:v>1.0892294247994757E-2</c:v>
                </c:pt>
                <c:pt idx="5">
                  <c:v>6.586651053864169E-3</c:v>
                </c:pt>
                <c:pt idx="6">
                  <c:v>2.2508038585209004E-2</c:v>
                </c:pt>
                <c:pt idx="7">
                  <c:v>1.2135718484924835E-2</c:v>
                </c:pt>
                <c:pt idx="8">
                  <c:v>1.563406620487371E-2</c:v>
                </c:pt>
              </c:numCache>
            </c:numRef>
          </c:val>
          <c:extLst>
            <c:ext xmlns:c16="http://schemas.microsoft.com/office/drawing/2014/chart" uri="{C3380CC4-5D6E-409C-BE32-E72D297353CC}">
              <c16:uniqueId val="{00000004-FF0F-4855-B4F6-09BC245B7A95}"/>
            </c:ext>
          </c:extLst>
        </c:ser>
        <c:ser>
          <c:idx val="5"/>
          <c:order val="5"/>
          <c:tx>
            <c:strRef>
              <c:f>'Discretionary Removals'!$G$2</c:f>
              <c:strCache>
                <c:ptCount val="1"/>
                <c:pt idx="0">
                  <c:v>2010-2011</c:v>
                </c:pt>
              </c:strCache>
            </c:strRef>
          </c:tx>
          <c:invertIfNegative val="0"/>
          <c:cat>
            <c:strRef>
              <c:f>'Discretionary Removals'!$A$3:$A$11</c:f>
              <c:strCache>
                <c:ptCount val="9"/>
                <c:pt idx="0">
                  <c:v>Austin ISD</c:v>
                </c:pt>
                <c:pt idx="1">
                  <c:v>Del Valle ISD</c:v>
                </c:pt>
                <c:pt idx="2">
                  <c:v>Eanes ISD</c:v>
                </c:pt>
                <c:pt idx="3">
                  <c:v>Lago Vista ISD</c:v>
                </c:pt>
                <c:pt idx="4">
                  <c:v>Leander ISD</c:v>
                </c:pt>
                <c:pt idx="5">
                  <c:v>Lake Travis ISD</c:v>
                </c:pt>
                <c:pt idx="6">
                  <c:v>Manor ISD</c:v>
                </c:pt>
                <c:pt idx="7">
                  <c:v>Pflugerville ISD</c:v>
                </c:pt>
                <c:pt idx="8">
                  <c:v>Texas</c:v>
                </c:pt>
              </c:strCache>
            </c:strRef>
          </c:cat>
          <c:val>
            <c:numRef>
              <c:f>'Discretionary Removals'!$G$3:$G$11</c:f>
              <c:numCache>
                <c:formatCode>0.0%</c:formatCode>
                <c:ptCount val="9"/>
                <c:pt idx="0">
                  <c:v>1.2067631059705885E-2</c:v>
                </c:pt>
                <c:pt idx="1">
                  <c:v>3.9087136929460579E-2</c:v>
                </c:pt>
                <c:pt idx="2">
                  <c:v>1.7730496453900709E-3</c:v>
                </c:pt>
                <c:pt idx="3">
                  <c:v>0</c:v>
                </c:pt>
                <c:pt idx="4">
                  <c:v>1.0011883541295306E-2</c:v>
                </c:pt>
                <c:pt idx="5">
                  <c:v>4.5510964004964833E-3</c:v>
                </c:pt>
                <c:pt idx="6">
                  <c:v>3.0472636815920398E-2</c:v>
                </c:pt>
                <c:pt idx="7">
                  <c:v>1.2756765568959896E-2</c:v>
                </c:pt>
                <c:pt idx="8">
                  <c:v>1.4861578996114231E-2</c:v>
                </c:pt>
              </c:numCache>
            </c:numRef>
          </c:val>
          <c:extLst>
            <c:ext xmlns:c16="http://schemas.microsoft.com/office/drawing/2014/chart" uri="{C3380CC4-5D6E-409C-BE32-E72D297353CC}">
              <c16:uniqueId val="{00000005-FF0F-4855-B4F6-09BC245B7A95}"/>
            </c:ext>
          </c:extLst>
        </c:ser>
        <c:ser>
          <c:idx val="6"/>
          <c:order val="6"/>
          <c:tx>
            <c:strRef>
              <c:f>'Discretionary Removals'!$H$2</c:f>
              <c:strCache>
                <c:ptCount val="1"/>
                <c:pt idx="0">
                  <c:v>2011-2012</c:v>
                </c:pt>
              </c:strCache>
            </c:strRef>
          </c:tx>
          <c:invertIfNegative val="0"/>
          <c:cat>
            <c:strRef>
              <c:f>'Discretionary Removals'!$A$3:$A$11</c:f>
              <c:strCache>
                <c:ptCount val="9"/>
                <c:pt idx="0">
                  <c:v>Austin ISD</c:v>
                </c:pt>
                <c:pt idx="1">
                  <c:v>Del Valle ISD</c:v>
                </c:pt>
                <c:pt idx="2">
                  <c:v>Eanes ISD</c:v>
                </c:pt>
                <c:pt idx="3">
                  <c:v>Lago Vista ISD</c:v>
                </c:pt>
                <c:pt idx="4">
                  <c:v>Leander ISD</c:v>
                </c:pt>
                <c:pt idx="5">
                  <c:v>Lake Travis ISD</c:v>
                </c:pt>
                <c:pt idx="6">
                  <c:v>Manor ISD</c:v>
                </c:pt>
                <c:pt idx="7">
                  <c:v>Pflugerville ISD</c:v>
                </c:pt>
                <c:pt idx="8">
                  <c:v>Texas</c:v>
                </c:pt>
              </c:strCache>
            </c:strRef>
          </c:cat>
          <c:val>
            <c:numRef>
              <c:f>'Discretionary Removals'!$H$3:$H$11</c:f>
              <c:numCache>
                <c:formatCode>0.0%</c:formatCode>
                <c:ptCount val="9"/>
                <c:pt idx="0">
                  <c:v>1.0133419759088208E-2</c:v>
                </c:pt>
                <c:pt idx="1">
                  <c:v>3.3067923301917455E-2</c:v>
                </c:pt>
                <c:pt idx="2">
                  <c:v>2.889084285893732E-3</c:v>
                </c:pt>
                <c:pt idx="3">
                  <c:v>2.3288637967537051E-2</c:v>
                </c:pt>
                <c:pt idx="4">
                  <c:v>8.9547098329602198E-3</c:v>
                </c:pt>
                <c:pt idx="5">
                  <c:v>4.5590725543832224E-3</c:v>
                </c:pt>
                <c:pt idx="6">
                  <c:v>2.6430165629037942E-2</c:v>
                </c:pt>
                <c:pt idx="7">
                  <c:v>1.4352903016542328E-2</c:v>
                </c:pt>
                <c:pt idx="8">
                  <c:v>1.3707401212628059E-2</c:v>
                </c:pt>
              </c:numCache>
            </c:numRef>
          </c:val>
          <c:extLst>
            <c:ext xmlns:c16="http://schemas.microsoft.com/office/drawing/2014/chart" uri="{C3380CC4-5D6E-409C-BE32-E72D297353CC}">
              <c16:uniqueId val="{00000006-FF0F-4855-B4F6-09BC245B7A95}"/>
            </c:ext>
          </c:extLst>
        </c:ser>
        <c:ser>
          <c:idx val="7"/>
          <c:order val="7"/>
          <c:tx>
            <c:strRef>
              <c:f>'Discretionary Removals'!$I$2</c:f>
              <c:strCache>
                <c:ptCount val="1"/>
                <c:pt idx="0">
                  <c:v>2012-2013</c:v>
                </c:pt>
              </c:strCache>
            </c:strRef>
          </c:tx>
          <c:invertIfNegative val="0"/>
          <c:cat>
            <c:strRef>
              <c:f>'Discretionary Removals'!$A$3:$A$11</c:f>
              <c:strCache>
                <c:ptCount val="9"/>
                <c:pt idx="0">
                  <c:v>Austin ISD</c:v>
                </c:pt>
                <c:pt idx="1">
                  <c:v>Del Valle ISD</c:v>
                </c:pt>
                <c:pt idx="2">
                  <c:v>Eanes ISD</c:v>
                </c:pt>
                <c:pt idx="3">
                  <c:v>Lago Vista ISD</c:v>
                </c:pt>
                <c:pt idx="4">
                  <c:v>Leander ISD</c:v>
                </c:pt>
                <c:pt idx="5">
                  <c:v>Lake Travis ISD</c:v>
                </c:pt>
                <c:pt idx="6">
                  <c:v>Manor ISD</c:v>
                </c:pt>
                <c:pt idx="7">
                  <c:v>Pflugerville ISD</c:v>
                </c:pt>
                <c:pt idx="8">
                  <c:v>Texas</c:v>
                </c:pt>
              </c:strCache>
            </c:strRef>
          </c:cat>
          <c:val>
            <c:numRef>
              <c:f>'Discretionary Removals'!$I$3:$I$11</c:f>
              <c:numCache>
                <c:formatCode>0.0%</c:formatCode>
                <c:ptCount val="9"/>
                <c:pt idx="0">
                  <c:v>4.3939393939393936E-3</c:v>
                </c:pt>
                <c:pt idx="1">
                  <c:v>3.5854028587399188E-2</c:v>
                </c:pt>
                <c:pt idx="2">
                  <c:v>2.2441092133150481E-3</c:v>
                </c:pt>
                <c:pt idx="3">
                  <c:v>6.2370062370062374E-3</c:v>
                </c:pt>
                <c:pt idx="4">
                  <c:v>8.5308583655208832E-3</c:v>
                </c:pt>
                <c:pt idx="5">
                  <c:v>3.5886647692117313E-3</c:v>
                </c:pt>
                <c:pt idx="6">
                  <c:v>2.4295540270690037E-2</c:v>
                </c:pt>
                <c:pt idx="7">
                  <c:v>1.7086510439538505E-2</c:v>
                </c:pt>
                <c:pt idx="8">
                  <c:v>1.2020380128625406E-2</c:v>
                </c:pt>
              </c:numCache>
            </c:numRef>
          </c:val>
          <c:extLst>
            <c:ext xmlns:c16="http://schemas.microsoft.com/office/drawing/2014/chart" uri="{C3380CC4-5D6E-409C-BE32-E72D297353CC}">
              <c16:uniqueId val="{00000007-FF0F-4855-B4F6-09BC245B7A95}"/>
            </c:ext>
          </c:extLst>
        </c:ser>
        <c:ser>
          <c:idx val="8"/>
          <c:order val="8"/>
          <c:tx>
            <c:strRef>
              <c:f>'Discretionary Removals'!$J$2</c:f>
              <c:strCache>
                <c:ptCount val="1"/>
                <c:pt idx="0">
                  <c:v>2013-2014</c:v>
                </c:pt>
              </c:strCache>
            </c:strRef>
          </c:tx>
          <c:invertIfNegative val="0"/>
          <c:cat>
            <c:strRef>
              <c:f>'Discretionary Removals'!$A$3:$A$11</c:f>
              <c:strCache>
                <c:ptCount val="9"/>
                <c:pt idx="0">
                  <c:v>Austin ISD</c:v>
                </c:pt>
                <c:pt idx="1">
                  <c:v>Del Valle ISD</c:v>
                </c:pt>
                <c:pt idx="2">
                  <c:v>Eanes ISD</c:v>
                </c:pt>
                <c:pt idx="3">
                  <c:v>Lago Vista ISD</c:v>
                </c:pt>
                <c:pt idx="4">
                  <c:v>Leander ISD</c:v>
                </c:pt>
                <c:pt idx="5">
                  <c:v>Lake Travis ISD</c:v>
                </c:pt>
                <c:pt idx="6">
                  <c:v>Manor ISD</c:v>
                </c:pt>
                <c:pt idx="7">
                  <c:v>Pflugerville ISD</c:v>
                </c:pt>
                <c:pt idx="8">
                  <c:v>Texas</c:v>
                </c:pt>
              </c:strCache>
            </c:strRef>
          </c:cat>
          <c:val>
            <c:numRef>
              <c:f>'Discretionary Removals'!$J$3:$J$11</c:f>
              <c:numCache>
                <c:formatCode>0.0%</c:formatCode>
                <c:ptCount val="9"/>
                <c:pt idx="0">
                  <c:v>5.1311787488238772E-3</c:v>
                </c:pt>
                <c:pt idx="1">
                  <c:v>4.0929801529075605E-2</c:v>
                </c:pt>
                <c:pt idx="2">
                  <c:v>8.5910652920962198E-4</c:v>
                </c:pt>
                <c:pt idx="3">
                  <c:v>1.0169491525423728E-2</c:v>
                </c:pt>
                <c:pt idx="4">
                  <c:v>7.1658419188231791E-3</c:v>
                </c:pt>
                <c:pt idx="5">
                  <c:v>2.2093023255813954E-3</c:v>
                </c:pt>
                <c:pt idx="6">
                  <c:v>2.0438109212870769E-2</c:v>
                </c:pt>
                <c:pt idx="7">
                  <c:v>1.4027739360651202E-2</c:v>
                </c:pt>
                <c:pt idx="8">
                  <c:v>1.0994277236437549E-2</c:v>
                </c:pt>
              </c:numCache>
            </c:numRef>
          </c:val>
          <c:extLst>
            <c:ext xmlns:c16="http://schemas.microsoft.com/office/drawing/2014/chart" uri="{C3380CC4-5D6E-409C-BE32-E72D297353CC}">
              <c16:uniqueId val="{00000008-FF0F-4855-B4F6-09BC245B7A95}"/>
            </c:ext>
          </c:extLst>
        </c:ser>
        <c:dLbls>
          <c:showLegendKey val="0"/>
          <c:showVal val="0"/>
          <c:showCatName val="0"/>
          <c:showSerName val="0"/>
          <c:showPercent val="0"/>
          <c:showBubbleSize val="0"/>
        </c:dLbls>
        <c:gapWidth val="150"/>
        <c:axId val="531447888"/>
        <c:axId val="1"/>
      </c:barChart>
      <c:catAx>
        <c:axId val="53144788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0.1"/>
        </c:scaling>
        <c:delete val="0"/>
        <c:axPos val="l"/>
        <c:majorGridlines/>
        <c:numFmt formatCode="0%" sourceLinked="0"/>
        <c:majorTickMark val="out"/>
        <c:minorTickMark val="none"/>
        <c:tickLblPos val="nextTo"/>
        <c:crossAx val="531447888"/>
        <c:crosses val="autoZero"/>
        <c:crossBetween val="between"/>
      </c:valAx>
    </c:plotArea>
    <c:legend>
      <c:legendPos val="r"/>
      <c:layout>
        <c:manualLayout>
          <c:xMode val="edge"/>
          <c:yMode val="edge"/>
          <c:x val="0.86594539785587121"/>
          <c:y val="0.29322106698821587"/>
          <c:w val="9.9916776675677443E-2"/>
          <c:h val="0.51864535548204649"/>
        </c:manualLayout>
      </c:layout>
      <c:overlay val="0"/>
    </c:legend>
    <c:plotVisOnly val="1"/>
    <c:dispBlanksAs val="gap"/>
    <c:showDLblsOverMax val="0"/>
  </c:chart>
  <c:spPr>
    <a:ln>
      <a:noFill/>
    </a:ln>
  </c:spPr>
  <c:txPr>
    <a:bodyPr/>
    <a:lstStyle/>
    <a:p>
      <a:pPr>
        <a:defRPr sz="1200">
          <a:latin typeface="Corbel" panose="020B0503020204020204" pitchFamily="34" charset="0"/>
        </a:defRPr>
      </a:pPr>
      <a:endParaRPr lang="en-US"/>
    </a:p>
  </c:txPr>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7008295086108E-2"/>
          <c:y val="4.4793679522244938E-2"/>
          <c:w val="0.76021570031018848"/>
          <c:h val="0.82830286297683664"/>
        </c:manualLayout>
      </c:layout>
      <c:barChart>
        <c:barDir val="col"/>
        <c:grouping val="clustered"/>
        <c:varyColors val="0"/>
        <c:ser>
          <c:idx val="0"/>
          <c:order val="0"/>
          <c:tx>
            <c:strRef>
              <c:f>'Discretionary Removals'!$N$2</c:f>
              <c:strCache>
                <c:ptCount val="1"/>
                <c:pt idx="0">
                  <c:v>2005-2006</c:v>
                </c:pt>
              </c:strCache>
            </c:strRef>
          </c:tx>
          <c:invertIfNegative val="0"/>
          <c:cat>
            <c:strRef>
              <c:f>'Discretionary Removals'!$A$3:$A$10</c:f>
              <c:strCache>
                <c:ptCount val="8"/>
                <c:pt idx="0">
                  <c:v>Austin ISD</c:v>
                </c:pt>
                <c:pt idx="1">
                  <c:v>Del Valle ISD</c:v>
                </c:pt>
                <c:pt idx="2">
                  <c:v>Eanes ISD</c:v>
                </c:pt>
                <c:pt idx="3">
                  <c:v>Lago Vista ISD</c:v>
                </c:pt>
                <c:pt idx="4">
                  <c:v>Leander ISD</c:v>
                </c:pt>
                <c:pt idx="5">
                  <c:v>Lake Travis ISD</c:v>
                </c:pt>
                <c:pt idx="6">
                  <c:v>Manor ISD</c:v>
                </c:pt>
                <c:pt idx="7">
                  <c:v>Pflugerville ISD</c:v>
                </c:pt>
              </c:strCache>
            </c:strRef>
          </c:cat>
          <c:val>
            <c:numRef>
              <c:f>'Discretionary Removals'!$N$3:$N$10</c:f>
              <c:numCache>
                <c:formatCode>_(* #,##0_);_(* \(#,##0\);_(* "-"??_);_(@_)</c:formatCode>
                <c:ptCount val="8"/>
                <c:pt idx="0">
                  <c:v>883</c:v>
                </c:pt>
                <c:pt idx="1">
                  <c:v>496</c:v>
                </c:pt>
                <c:pt idx="2">
                  <c:v>31</c:v>
                </c:pt>
                <c:pt idx="3">
                  <c:v>12</c:v>
                </c:pt>
                <c:pt idx="4">
                  <c:v>465</c:v>
                </c:pt>
                <c:pt idx="5">
                  <c:v>88</c:v>
                </c:pt>
                <c:pt idx="6">
                  <c:v>64</c:v>
                </c:pt>
                <c:pt idx="7">
                  <c:v>179</c:v>
                </c:pt>
              </c:numCache>
            </c:numRef>
          </c:val>
          <c:extLst>
            <c:ext xmlns:c16="http://schemas.microsoft.com/office/drawing/2014/chart" uri="{C3380CC4-5D6E-409C-BE32-E72D297353CC}">
              <c16:uniqueId val="{00000000-6A41-477F-ADE9-A7A9982FE59B}"/>
            </c:ext>
          </c:extLst>
        </c:ser>
        <c:ser>
          <c:idx val="1"/>
          <c:order val="1"/>
          <c:tx>
            <c:strRef>
              <c:f>'Discretionary Removals'!$O$2</c:f>
              <c:strCache>
                <c:ptCount val="1"/>
                <c:pt idx="0">
                  <c:v>2006-2007</c:v>
                </c:pt>
              </c:strCache>
            </c:strRef>
          </c:tx>
          <c:invertIfNegative val="0"/>
          <c:cat>
            <c:strRef>
              <c:f>'Discretionary Removals'!$A$3:$A$10</c:f>
              <c:strCache>
                <c:ptCount val="8"/>
                <c:pt idx="0">
                  <c:v>Austin ISD</c:v>
                </c:pt>
                <c:pt idx="1">
                  <c:v>Del Valle ISD</c:v>
                </c:pt>
                <c:pt idx="2">
                  <c:v>Eanes ISD</c:v>
                </c:pt>
                <c:pt idx="3">
                  <c:v>Lago Vista ISD</c:v>
                </c:pt>
                <c:pt idx="4">
                  <c:v>Leander ISD</c:v>
                </c:pt>
                <c:pt idx="5">
                  <c:v>Lake Travis ISD</c:v>
                </c:pt>
                <c:pt idx="6">
                  <c:v>Manor ISD</c:v>
                </c:pt>
                <c:pt idx="7">
                  <c:v>Pflugerville ISD</c:v>
                </c:pt>
              </c:strCache>
            </c:strRef>
          </c:cat>
          <c:val>
            <c:numRef>
              <c:f>'Discretionary Removals'!$O$3:$O$10</c:f>
              <c:numCache>
                <c:formatCode>_(* #,##0_);_(* \(#,##0\);_(* "-"??_);_(@_)</c:formatCode>
                <c:ptCount val="8"/>
                <c:pt idx="0">
                  <c:v>1039</c:v>
                </c:pt>
                <c:pt idx="1">
                  <c:v>532</c:v>
                </c:pt>
                <c:pt idx="2">
                  <c:v>41</c:v>
                </c:pt>
                <c:pt idx="3">
                  <c:v>12</c:v>
                </c:pt>
                <c:pt idx="4">
                  <c:v>472</c:v>
                </c:pt>
                <c:pt idx="5">
                  <c:v>88</c:v>
                </c:pt>
                <c:pt idx="6">
                  <c:v>29</c:v>
                </c:pt>
                <c:pt idx="7">
                  <c:v>194</c:v>
                </c:pt>
              </c:numCache>
            </c:numRef>
          </c:val>
          <c:extLst>
            <c:ext xmlns:c16="http://schemas.microsoft.com/office/drawing/2014/chart" uri="{C3380CC4-5D6E-409C-BE32-E72D297353CC}">
              <c16:uniqueId val="{00000001-6A41-477F-ADE9-A7A9982FE59B}"/>
            </c:ext>
          </c:extLst>
        </c:ser>
        <c:ser>
          <c:idx val="2"/>
          <c:order val="2"/>
          <c:tx>
            <c:strRef>
              <c:f>'Discretionary Removals'!$P$2</c:f>
              <c:strCache>
                <c:ptCount val="1"/>
                <c:pt idx="0">
                  <c:v>2007-2008</c:v>
                </c:pt>
              </c:strCache>
            </c:strRef>
          </c:tx>
          <c:invertIfNegative val="0"/>
          <c:cat>
            <c:strRef>
              <c:f>'Discretionary Removals'!$A$3:$A$10</c:f>
              <c:strCache>
                <c:ptCount val="8"/>
                <c:pt idx="0">
                  <c:v>Austin ISD</c:v>
                </c:pt>
                <c:pt idx="1">
                  <c:v>Del Valle ISD</c:v>
                </c:pt>
                <c:pt idx="2">
                  <c:v>Eanes ISD</c:v>
                </c:pt>
                <c:pt idx="3">
                  <c:v>Lago Vista ISD</c:v>
                </c:pt>
                <c:pt idx="4">
                  <c:v>Leander ISD</c:v>
                </c:pt>
                <c:pt idx="5">
                  <c:v>Lake Travis ISD</c:v>
                </c:pt>
                <c:pt idx="6">
                  <c:v>Manor ISD</c:v>
                </c:pt>
                <c:pt idx="7">
                  <c:v>Pflugerville ISD</c:v>
                </c:pt>
              </c:strCache>
            </c:strRef>
          </c:cat>
          <c:val>
            <c:numRef>
              <c:f>'Discretionary Removals'!$P$3:$P$10</c:f>
              <c:numCache>
                <c:formatCode>_(* #,##0_);_(* \(#,##0\);_(* "-"??_);_(@_)</c:formatCode>
                <c:ptCount val="8"/>
                <c:pt idx="0">
                  <c:v>1078</c:v>
                </c:pt>
                <c:pt idx="1">
                  <c:v>610</c:v>
                </c:pt>
                <c:pt idx="2">
                  <c:v>15</c:v>
                </c:pt>
                <c:pt idx="3">
                  <c:v>0</c:v>
                </c:pt>
                <c:pt idx="4">
                  <c:v>415</c:v>
                </c:pt>
                <c:pt idx="5">
                  <c:v>58</c:v>
                </c:pt>
                <c:pt idx="6">
                  <c:v>283</c:v>
                </c:pt>
                <c:pt idx="7">
                  <c:v>254</c:v>
                </c:pt>
              </c:numCache>
            </c:numRef>
          </c:val>
          <c:extLst>
            <c:ext xmlns:c16="http://schemas.microsoft.com/office/drawing/2014/chart" uri="{C3380CC4-5D6E-409C-BE32-E72D297353CC}">
              <c16:uniqueId val="{00000002-6A41-477F-ADE9-A7A9982FE59B}"/>
            </c:ext>
          </c:extLst>
        </c:ser>
        <c:ser>
          <c:idx val="3"/>
          <c:order val="3"/>
          <c:tx>
            <c:strRef>
              <c:f>'Discretionary Removals'!$Q$2</c:f>
              <c:strCache>
                <c:ptCount val="1"/>
                <c:pt idx="0">
                  <c:v>2008-2009</c:v>
                </c:pt>
              </c:strCache>
            </c:strRef>
          </c:tx>
          <c:invertIfNegative val="0"/>
          <c:cat>
            <c:strRef>
              <c:f>'Discretionary Removals'!$A$3:$A$10</c:f>
              <c:strCache>
                <c:ptCount val="8"/>
                <c:pt idx="0">
                  <c:v>Austin ISD</c:v>
                </c:pt>
                <c:pt idx="1">
                  <c:v>Del Valle ISD</c:v>
                </c:pt>
                <c:pt idx="2">
                  <c:v>Eanes ISD</c:v>
                </c:pt>
                <c:pt idx="3">
                  <c:v>Lago Vista ISD</c:v>
                </c:pt>
                <c:pt idx="4">
                  <c:v>Leander ISD</c:v>
                </c:pt>
                <c:pt idx="5">
                  <c:v>Lake Travis ISD</c:v>
                </c:pt>
                <c:pt idx="6">
                  <c:v>Manor ISD</c:v>
                </c:pt>
                <c:pt idx="7">
                  <c:v>Pflugerville ISD</c:v>
                </c:pt>
              </c:strCache>
            </c:strRef>
          </c:cat>
          <c:val>
            <c:numRef>
              <c:f>'Discretionary Removals'!$Q$3:$Q$10</c:f>
              <c:numCache>
                <c:formatCode>_(* #,##0_);_(* \(#,##0\);_(* "-"??_);_(@_)</c:formatCode>
                <c:ptCount val="8"/>
                <c:pt idx="0">
                  <c:v>1370</c:v>
                </c:pt>
                <c:pt idx="1">
                  <c:v>0</c:v>
                </c:pt>
                <c:pt idx="2">
                  <c:v>18</c:v>
                </c:pt>
                <c:pt idx="3">
                  <c:v>19</c:v>
                </c:pt>
                <c:pt idx="4">
                  <c:v>462</c:v>
                </c:pt>
                <c:pt idx="5">
                  <c:v>27</c:v>
                </c:pt>
                <c:pt idx="6">
                  <c:v>193</c:v>
                </c:pt>
                <c:pt idx="7">
                  <c:v>285</c:v>
                </c:pt>
              </c:numCache>
            </c:numRef>
          </c:val>
          <c:extLst>
            <c:ext xmlns:c16="http://schemas.microsoft.com/office/drawing/2014/chart" uri="{C3380CC4-5D6E-409C-BE32-E72D297353CC}">
              <c16:uniqueId val="{00000003-6A41-477F-ADE9-A7A9982FE59B}"/>
            </c:ext>
          </c:extLst>
        </c:ser>
        <c:ser>
          <c:idx val="4"/>
          <c:order val="4"/>
          <c:tx>
            <c:strRef>
              <c:f>'Discretionary Removals'!$R$2</c:f>
              <c:strCache>
                <c:ptCount val="1"/>
                <c:pt idx="0">
                  <c:v>2009-2010</c:v>
                </c:pt>
              </c:strCache>
            </c:strRef>
          </c:tx>
          <c:invertIfNegative val="0"/>
          <c:cat>
            <c:strRef>
              <c:f>'Discretionary Removals'!$A$3:$A$10</c:f>
              <c:strCache>
                <c:ptCount val="8"/>
                <c:pt idx="0">
                  <c:v>Austin ISD</c:v>
                </c:pt>
                <c:pt idx="1">
                  <c:v>Del Valle ISD</c:v>
                </c:pt>
                <c:pt idx="2">
                  <c:v>Eanes ISD</c:v>
                </c:pt>
                <c:pt idx="3">
                  <c:v>Lago Vista ISD</c:v>
                </c:pt>
                <c:pt idx="4">
                  <c:v>Leander ISD</c:v>
                </c:pt>
                <c:pt idx="5">
                  <c:v>Lake Travis ISD</c:v>
                </c:pt>
                <c:pt idx="6">
                  <c:v>Manor ISD</c:v>
                </c:pt>
                <c:pt idx="7">
                  <c:v>Pflugerville ISD</c:v>
                </c:pt>
              </c:strCache>
            </c:strRef>
          </c:cat>
          <c:val>
            <c:numRef>
              <c:f>'Discretionary Removals'!$R$3:$R$10</c:f>
              <c:numCache>
                <c:formatCode>_(* #,##0_);_(* \(#,##0\);_(* "-"??_);_(@_)</c:formatCode>
                <c:ptCount val="8"/>
                <c:pt idx="0">
                  <c:v>1284</c:v>
                </c:pt>
                <c:pt idx="1">
                  <c:v>546</c:v>
                </c:pt>
                <c:pt idx="2">
                  <c:v>12</c:v>
                </c:pt>
                <c:pt idx="3">
                  <c:v>15</c:v>
                </c:pt>
                <c:pt idx="4">
                  <c:v>349</c:v>
                </c:pt>
                <c:pt idx="5">
                  <c:v>45</c:v>
                </c:pt>
                <c:pt idx="6">
                  <c:v>175</c:v>
                </c:pt>
                <c:pt idx="7">
                  <c:v>289</c:v>
                </c:pt>
              </c:numCache>
            </c:numRef>
          </c:val>
          <c:extLst>
            <c:ext xmlns:c16="http://schemas.microsoft.com/office/drawing/2014/chart" uri="{C3380CC4-5D6E-409C-BE32-E72D297353CC}">
              <c16:uniqueId val="{00000004-6A41-477F-ADE9-A7A9982FE59B}"/>
            </c:ext>
          </c:extLst>
        </c:ser>
        <c:ser>
          <c:idx val="5"/>
          <c:order val="5"/>
          <c:tx>
            <c:strRef>
              <c:f>'Discretionary Removals'!$S$2</c:f>
              <c:strCache>
                <c:ptCount val="1"/>
                <c:pt idx="0">
                  <c:v>2010-2011</c:v>
                </c:pt>
              </c:strCache>
            </c:strRef>
          </c:tx>
          <c:invertIfNegative val="0"/>
          <c:cat>
            <c:strRef>
              <c:f>'Discretionary Removals'!$A$3:$A$10</c:f>
              <c:strCache>
                <c:ptCount val="8"/>
                <c:pt idx="0">
                  <c:v>Austin ISD</c:v>
                </c:pt>
                <c:pt idx="1">
                  <c:v>Del Valle ISD</c:v>
                </c:pt>
                <c:pt idx="2">
                  <c:v>Eanes ISD</c:v>
                </c:pt>
                <c:pt idx="3">
                  <c:v>Lago Vista ISD</c:v>
                </c:pt>
                <c:pt idx="4">
                  <c:v>Leander ISD</c:v>
                </c:pt>
                <c:pt idx="5">
                  <c:v>Lake Travis ISD</c:v>
                </c:pt>
                <c:pt idx="6">
                  <c:v>Manor ISD</c:v>
                </c:pt>
                <c:pt idx="7">
                  <c:v>Pflugerville ISD</c:v>
                </c:pt>
              </c:strCache>
            </c:strRef>
          </c:cat>
          <c:val>
            <c:numRef>
              <c:f>'Discretionary Removals'!$S$3:$S$10</c:f>
              <c:numCache>
                <c:formatCode>_(* #,##0_);_(* \(#,##0\);_(* "-"??_);_(@_)</c:formatCode>
                <c:ptCount val="8"/>
                <c:pt idx="0">
                  <c:v>1107</c:v>
                </c:pt>
                <c:pt idx="1">
                  <c:v>471</c:v>
                </c:pt>
                <c:pt idx="2">
                  <c:v>14</c:v>
                </c:pt>
                <c:pt idx="3">
                  <c:v>0</c:v>
                </c:pt>
                <c:pt idx="4">
                  <c:v>337</c:v>
                </c:pt>
                <c:pt idx="5">
                  <c:v>33</c:v>
                </c:pt>
                <c:pt idx="6">
                  <c:v>245</c:v>
                </c:pt>
                <c:pt idx="7">
                  <c:v>313</c:v>
                </c:pt>
              </c:numCache>
            </c:numRef>
          </c:val>
          <c:extLst>
            <c:ext xmlns:c16="http://schemas.microsoft.com/office/drawing/2014/chart" uri="{C3380CC4-5D6E-409C-BE32-E72D297353CC}">
              <c16:uniqueId val="{00000005-6A41-477F-ADE9-A7A9982FE59B}"/>
            </c:ext>
          </c:extLst>
        </c:ser>
        <c:ser>
          <c:idx val="6"/>
          <c:order val="6"/>
          <c:tx>
            <c:strRef>
              <c:f>'Discretionary Removals'!$T$2</c:f>
              <c:strCache>
                <c:ptCount val="1"/>
                <c:pt idx="0">
                  <c:v>2011-2012</c:v>
                </c:pt>
              </c:strCache>
            </c:strRef>
          </c:tx>
          <c:invertIfNegative val="0"/>
          <c:cat>
            <c:strRef>
              <c:f>'Discretionary Removals'!$A$3:$A$10</c:f>
              <c:strCache>
                <c:ptCount val="8"/>
                <c:pt idx="0">
                  <c:v>Austin ISD</c:v>
                </c:pt>
                <c:pt idx="1">
                  <c:v>Del Valle ISD</c:v>
                </c:pt>
                <c:pt idx="2">
                  <c:v>Eanes ISD</c:v>
                </c:pt>
                <c:pt idx="3">
                  <c:v>Lago Vista ISD</c:v>
                </c:pt>
                <c:pt idx="4">
                  <c:v>Leander ISD</c:v>
                </c:pt>
                <c:pt idx="5">
                  <c:v>Lake Travis ISD</c:v>
                </c:pt>
                <c:pt idx="6">
                  <c:v>Manor ISD</c:v>
                </c:pt>
                <c:pt idx="7">
                  <c:v>Pflugerville ISD</c:v>
                </c:pt>
              </c:strCache>
            </c:strRef>
          </c:cat>
          <c:val>
            <c:numRef>
              <c:f>'Discretionary Removals'!$T$3:$T$10</c:f>
              <c:numCache>
                <c:formatCode>_(* #,##0_);_(* \(#,##0\);_(* "-"??_);_(@_)</c:formatCode>
                <c:ptCount val="8"/>
                <c:pt idx="0">
                  <c:v>938</c:v>
                </c:pt>
                <c:pt idx="1">
                  <c:v>407</c:v>
                </c:pt>
                <c:pt idx="2">
                  <c:v>23</c:v>
                </c:pt>
                <c:pt idx="3">
                  <c:v>33</c:v>
                </c:pt>
                <c:pt idx="4">
                  <c:v>312</c:v>
                </c:pt>
                <c:pt idx="5">
                  <c:v>35</c:v>
                </c:pt>
                <c:pt idx="6">
                  <c:v>225</c:v>
                </c:pt>
                <c:pt idx="7">
                  <c:v>354</c:v>
                </c:pt>
              </c:numCache>
            </c:numRef>
          </c:val>
          <c:extLst>
            <c:ext xmlns:c16="http://schemas.microsoft.com/office/drawing/2014/chart" uri="{C3380CC4-5D6E-409C-BE32-E72D297353CC}">
              <c16:uniqueId val="{00000006-6A41-477F-ADE9-A7A9982FE59B}"/>
            </c:ext>
          </c:extLst>
        </c:ser>
        <c:ser>
          <c:idx val="7"/>
          <c:order val="7"/>
          <c:tx>
            <c:strRef>
              <c:f>'Discretionary Removals'!$U$2</c:f>
              <c:strCache>
                <c:ptCount val="1"/>
                <c:pt idx="0">
                  <c:v>2012-2013</c:v>
                </c:pt>
              </c:strCache>
            </c:strRef>
          </c:tx>
          <c:invertIfNegative val="0"/>
          <c:cat>
            <c:strRef>
              <c:f>'Discretionary Removals'!$A$3:$A$10</c:f>
              <c:strCache>
                <c:ptCount val="8"/>
                <c:pt idx="0">
                  <c:v>Austin ISD</c:v>
                </c:pt>
                <c:pt idx="1">
                  <c:v>Del Valle ISD</c:v>
                </c:pt>
                <c:pt idx="2">
                  <c:v>Eanes ISD</c:v>
                </c:pt>
                <c:pt idx="3">
                  <c:v>Lago Vista ISD</c:v>
                </c:pt>
                <c:pt idx="4">
                  <c:v>Leander ISD</c:v>
                </c:pt>
                <c:pt idx="5">
                  <c:v>Lake Travis ISD</c:v>
                </c:pt>
                <c:pt idx="6">
                  <c:v>Manor ISD</c:v>
                </c:pt>
                <c:pt idx="7">
                  <c:v>Pflugerville ISD</c:v>
                </c:pt>
              </c:strCache>
            </c:strRef>
          </c:cat>
          <c:val>
            <c:numRef>
              <c:f>'Discretionary Removals'!$U$3:$U$10</c:f>
              <c:numCache>
                <c:formatCode>_(* #,##0_);_(* \(#,##0\);_(* "-"??_);_(@_)</c:formatCode>
                <c:ptCount val="8"/>
                <c:pt idx="0">
                  <c:v>406</c:v>
                </c:pt>
                <c:pt idx="1">
                  <c:v>449</c:v>
                </c:pt>
                <c:pt idx="2">
                  <c:v>18</c:v>
                </c:pt>
                <c:pt idx="3">
                  <c:v>9</c:v>
                </c:pt>
                <c:pt idx="4">
                  <c:v>307</c:v>
                </c:pt>
                <c:pt idx="5">
                  <c:v>29</c:v>
                </c:pt>
                <c:pt idx="6">
                  <c:v>219</c:v>
                </c:pt>
                <c:pt idx="7">
                  <c:v>428</c:v>
                </c:pt>
              </c:numCache>
            </c:numRef>
          </c:val>
          <c:extLst>
            <c:ext xmlns:c16="http://schemas.microsoft.com/office/drawing/2014/chart" uri="{C3380CC4-5D6E-409C-BE32-E72D297353CC}">
              <c16:uniqueId val="{00000007-6A41-477F-ADE9-A7A9982FE59B}"/>
            </c:ext>
          </c:extLst>
        </c:ser>
        <c:ser>
          <c:idx val="8"/>
          <c:order val="8"/>
          <c:tx>
            <c:strRef>
              <c:f>'Discretionary Removals'!$V$2</c:f>
              <c:strCache>
                <c:ptCount val="1"/>
                <c:pt idx="0">
                  <c:v>2013-2014</c:v>
                </c:pt>
              </c:strCache>
            </c:strRef>
          </c:tx>
          <c:invertIfNegative val="0"/>
          <c:cat>
            <c:strRef>
              <c:f>'Discretionary Removals'!$A$3:$A$10</c:f>
              <c:strCache>
                <c:ptCount val="8"/>
                <c:pt idx="0">
                  <c:v>Austin ISD</c:v>
                </c:pt>
                <c:pt idx="1">
                  <c:v>Del Valle ISD</c:v>
                </c:pt>
                <c:pt idx="2">
                  <c:v>Eanes ISD</c:v>
                </c:pt>
                <c:pt idx="3">
                  <c:v>Lago Vista ISD</c:v>
                </c:pt>
                <c:pt idx="4">
                  <c:v>Leander ISD</c:v>
                </c:pt>
                <c:pt idx="5">
                  <c:v>Lake Travis ISD</c:v>
                </c:pt>
                <c:pt idx="6">
                  <c:v>Manor ISD</c:v>
                </c:pt>
                <c:pt idx="7">
                  <c:v>Pflugerville ISD</c:v>
                </c:pt>
              </c:strCache>
            </c:strRef>
          </c:cat>
          <c:val>
            <c:numRef>
              <c:f>'Discretionary Removals'!$V$3:$V$10</c:f>
              <c:numCache>
                <c:formatCode>_(* #,##0_);_(* \(#,##0\);_(* "-"??_);_(@_)</c:formatCode>
                <c:ptCount val="8"/>
                <c:pt idx="0">
                  <c:v>469</c:v>
                </c:pt>
                <c:pt idx="1">
                  <c:v>530</c:v>
                </c:pt>
                <c:pt idx="2">
                  <c:v>7</c:v>
                </c:pt>
                <c:pt idx="3">
                  <c:v>15</c:v>
                </c:pt>
                <c:pt idx="4">
                  <c:v>265</c:v>
                </c:pt>
                <c:pt idx="5">
                  <c:v>19</c:v>
                </c:pt>
                <c:pt idx="6">
                  <c:v>195</c:v>
                </c:pt>
                <c:pt idx="7">
                  <c:v>355</c:v>
                </c:pt>
              </c:numCache>
            </c:numRef>
          </c:val>
          <c:extLst>
            <c:ext xmlns:c16="http://schemas.microsoft.com/office/drawing/2014/chart" uri="{C3380CC4-5D6E-409C-BE32-E72D297353CC}">
              <c16:uniqueId val="{00000008-6A41-477F-ADE9-A7A9982FE59B}"/>
            </c:ext>
          </c:extLst>
        </c:ser>
        <c:dLbls>
          <c:showLegendKey val="0"/>
          <c:showVal val="0"/>
          <c:showCatName val="0"/>
          <c:showSerName val="0"/>
          <c:showPercent val="0"/>
          <c:showBubbleSize val="0"/>
        </c:dLbls>
        <c:gapWidth val="150"/>
        <c:axId val="531457488"/>
        <c:axId val="1"/>
      </c:barChart>
      <c:catAx>
        <c:axId val="53145748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0"/>
        <c:majorTickMark val="out"/>
        <c:minorTickMark val="none"/>
        <c:tickLblPos val="nextTo"/>
        <c:crossAx val="531457488"/>
        <c:crosses val="autoZero"/>
        <c:crossBetween val="between"/>
      </c:valAx>
    </c:plotArea>
    <c:legend>
      <c:legendPos val="r"/>
      <c:layout>
        <c:manualLayout>
          <c:xMode val="edge"/>
          <c:yMode val="edge"/>
          <c:x val="0.86511275805024057"/>
          <c:y val="0.28983122806349665"/>
          <c:w val="9.9916776675677443E-2"/>
          <c:h val="0.51864535548204649"/>
        </c:manualLayout>
      </c:layout>
      <c:overlay val="0"/>
    </c:legend>
    <c:plotVisOnly val="1"/>
    <c:dispBlanksAs val="gap"/>
    <c:showDLblsOverMax val="0"/>
  </c:chart>
  <c:spPr>
    <a:ln>
      <a:noFill/>
    </a:ln>
  </c:spPr>
  <c:txPr>
    <a:bodyPr/>
    <a:lstStyle/>
    <a:p>
      <a:pPr>
        <a:defRPr sz="1200">
          <a:latin typeface="Corbel" panose="020B0503020204020204" pitchFamily="34" charset="0"/>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Percent of Students Subject to Each Type of Disciplinary Action,</a:t>
            </a:r>
          </a:p>
          <a:p>
            <a:pPr>
              <a:defRPr b="0"/>
            </a:pPr>
            <a:r>
              <a:rPr lang="en-US" b="0"/>
              <a:t>Pflugerville ISD, by School Year</a:t>
            </a:r>
          </a:p>
        </c:rich>
      </c:tx>
      <c:overlay val="0"/>
    </c:title>
    <c:autoTitleDeleted val="0"/>
    <c:plotArea>
      <c:layout/>
      <c:barChart>
        <c:barDir val="col"/>
        <c:grouping val="clustered"/>
        <c:varyColors val="0"/>
        <c:ser>
          <c:idx val="0"/>
          <c:order val="0"/>
          <c:tx>
            <c:strRef>
              <c:f>'Overall Breakdown'!$B$116</c:f>
              <c:strCache>
                <c:ptCount val="1"/>
                <c:pt idx="0">
                  <c:v>2013-2014</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Breakdown'!$D$116:$G$116</c:f>
              <c:numCache>
                <c:formatCode>0.0%</c:formatCode>
                <c:ptCount val="4"/>
                <c:pt idx="0">
                  <c:v>0.12709999999999999</c:v>
                </c:pt>
                <c:pt idx="1">
                  <c:v>4.0099999999999997E-2</c:v>
                </c:pt>
                <c:pt idx="2">
                  <c:v>1.9699999999999999E-2</c:v>
                </c:pt>
              </c:numCache>
            </c:numRef>
          </c:val>
          <c:extLst>
            <c:ext xmlns:c16="http://schemas.microsoft.com/office/drawing/2014/chart" uri="{C3380CC4-5D6E-409C-BE32-E72D297353CC}">
              <c16:uniqueId val="{00000000-48B3-4BF3-9D6C-7493EAFCBAE6}"/>
            </c:ext>
          </c:extLst>
        </c:ser>
        <c:ser>
          <c:idx val="1"/>
          <c:order val="1"/>
          <c:tx>
            <c:strRef>
              <c:f>'Overall Breakdown'!$B$117</c:f>
              <c:strCache>
                <c:ptCount val="1"/>
                <c:pt idx="0">
                  <c:v>2014-2015</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Breakdown'!$D$117:$G$117</c:f>
              <c:numCache>
                <c:formatCode>0.0%</c:formatCode>
                <c:ptCount val="4"/>
                <c:pt idx="0">
                  <c:v>0.13096257100614739</c:v>
                </c:pt>
                <c:pt idx="1">
                  <c:v>4.3576375379347908E-2</c:v>
                </c:pt>
                <c:pt idx="2">
                  <c:v>1.6224418333203643E-2</c:v>
                </c:pt>
              </c:numCache>
            </c:numRef>
          </c:val>
          <c:extLst>
            <c:ext xmlns:c16="http://schemas.microsoft.com/office/drawing/2014/chart" uri="{C3380CC4-5D6E-409C-BE32-E72D297353CC}">
              <c16:uniqueId val="{00000001-48B3-4BF3-9D6C-7493EAFCBAE6}"/>
            </c:ext>
          </c:extLst>
        </c:ser>
        <c:ser>
          <c:idx val="2"/>
          <c:order val="2"/>
          <c:tx>
            <c:strRef>
              <c:f>'Overall Breakdown'!$B$118</c:f>
              <c:strCache>
                <c:ptCount val="1"/>
                <c:pt idx="0">
                  <c:v>2015-2016</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Breakdown'!$D$118:$G$118</c:f>
              <c:numCache>
                <c:formatCode>0.0%</c:formatCode>
                <c:ptCount val="4"/>
                <c:pt idx="0">
                  <c:v>0.11871437987050751</c:v>
                </c:pt>
                <c:pt idx="1">
                  <c:v>3.8925289807312059E-2</c:v>
                </c:pt>
                <c:pt idx="2">
                  <c:v>1.4771449618113441E-2</c:v>
                </c:pt>
                <c:pt idx="3">
                  <c:v>6.9786376148567439E-4</c:v>
                </c:pt>
              </c:numCache>
            </c:numRef>
          </c:val>
          <c:extLst>
            <c:ext xmlns:c16="http://schemas.microsoft.com/office/drawing/2014/chart" uri="{C3380CC4-5D6E-409C-BE32-E72D297353CC}">
              <c16:uniqueId val="{00000002-48B3-4BF3-9D6C-7493EAFCBAE6}"/>
            </c:ext>
          </c:extLst>
        </c:ser>
        <c:ser>
          <c:idx val="3"/>
          <c:order val="3"/>
          <c:tx>
            <c:strRef>
              <c:f>'Overall Breakdown'!$B$119</c:f>
              <c:strCache>
                <c:ptCount val="1"/>
                <c:pt idx="0">
                  <c:v>2016-2017</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Breakdown'!$D$119:$G$119</c:f>
              <c:numCache>
                <c:formatCode>0.0%</c:formatCode>
                <c:ptCount val="4"/>
                <c:pt idx="0">
                  <c:v>0.11999848151241363</c:v>
                </c:pt>
                <c:pt idx="1">
                  <c:v>3.390023536557589E-2</c:v>
                </c:pt>
                <c:pt idx="2">
                  <c:v>1.4159896742844126E-2</c:v>
                </c:pt>
                <c:pt idx="3">
                  <c:v>5.3147065522739353E-4</c:v>
                </c:pt>
              </c:numCache>
            </c:numRef>
          </c:val>
          <c:extLst>
            <c:ext xmlns:c16="http://schemas.microsoft.com/office/drawing/2014/chart" uri="{C3380CC4-5D6E-409C-BE32-E72D297353CC}">
              <c16:uniqueId val="{00000003-48B3-4BF3-9D6C-7493EAFCBAE6}"/>
            </c:ext>
          </c:extLst>
        </c:ser>
        <c:ser>
          <c:idx val="4"/>
          <c:order val="4"/>
          <c:tx>
            <c:strRef>
              <c:f>'Overall Breakdown'!$B$120</c:f>
              <c:strCache>
                <c:ptCount val="1"/>
                <c:pt idx="0">
                  <c:v>2017-2018</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Breakdown'!$D$120:$G$120</c:f>
              <c:numCache>
                <c:formatCode>0.0%</c:formatCode>
                <c:ptCount val="4"/>
                <c:pt idx="0">
                  <c:v>0.10244699417028703</c:v>
                </c:pt>
                <c:pt idx="1">
                  <c:v>3.5646652556533362E-2</c:v>
                </c:pt>
                <c:pt idx="2">
                  <c:v>1.4332924882106123E-2</c:v>
                </c:pt>
                <c:pt idx="3">
                  <c:v>7.7977052467416734E-4</c:v>
                </c:pt>
              </c:numCache>
            </c:numRef>
          </c:val>
          <c:extLst>
            <c:ext xmlns:c16="http://schemas.microsoft.com/office/drawing/2014/chart" uri="{C3380CC4-5D6E-409C-BE32-E72D297353CC}">
              <c16:uniqueId val="{00000004-48B3-4BF3-9D6C-7493EAFCBAE6}"/>
            </c:ext>
          </c:extLst>
        </c:ser>
        <c:ser>
          <c:idx val="5"/>
          <c:order val="5"/>
          <c:tx>
            <c:strRef>
              <c:f>'Overall Breakdown'!$B$121</c:f>
              <c:strCache>
                <c:ptCount val="1"/>
                <c:pt idx="0">
                  <c:v>2018-2019</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Breakdown'!$D$121:$G$121</c:f>
              <c:numCache>
                <c:formatCode>0.0%</c:formatCode>
                <c:ptCount val="4"/>
                <c:pt idx="0">
                  <c:v>0.10051101062460939</c:v>
                </c:pt>
                <c:pt idx="1">
                  <c:v>4.0329399654424468E-2</c:v>
                </c:pt>
                <c:pt idx="2">
                  <c:v>1.5771478989743026E-2</c:v>
                </c:pt>
              </c:numCache>
            </c:numRef>
          </c:val>
          <c:extLst>
            <c:ext xmlns:c16="http://schemas.microsoft.com/office/drawing/2014/chart" uri="{C3380CC4-5D6E-409C-BE32-E72D297353CC}">
              <c16:uniqueId val="{00000000-28A6-4469-8567-6533C049A6F0}"/>
            </c:ext>
          </c:extLst>
        </c:ser>
        <c:dLbls>
          <c:showLegendKey val="0"/>
          <c:showVal val="0"/>
          <c:showCatName val="0"/>
          <c:showSerName val="0"/>
          <c:showPercent val="0"/>
          <c:showBubbleSize val="0"/>
        </c:dLbls>
        <c:gapWidth val="150"/>
        <c:axId val="531466768"/>
        <c:axId val="1"/>
      </c:barChart>
      <c:catAx>
        <c:axId val="531466768"/>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0.25"/>
        </c:scaling>
        <c:delete val="0"/>
        <c:axPos val="l"/>
        <c:majorGridlines/>
        <c:numFmt formatCode="0.0%" sourceLinked="1"/>
        <c:majorTickMark val="none"/>
        <c:minorTickMark val="none"/>
        <c:tickLblPos val="nextTo"/>
        <c:crossAx val="531466768"/>
        <c:crosses val="autoZero"/>
        <c:crossBetween val="between"/>
      </c:valAx>
    </c:plotArea>
    <c:legend>
      <c:legendPos val="r"/>
      <c:layout>
        <c:manualLayout>
          <c:xMode val="edge"/>
          <c:yMode val="edge"/>
          <c:x val="0.83685151922105561"/>
          <c:y val="0.39247453495801193"/>
          <c:w val="0.14097459863930512"/>
          <c:h val="0.48609982219964443"/>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Percent of Students Subject to Each Type of Disciplinary Action,</a:t>
            </a:r>
          </a:p>
          <a:p>
            <a:pPr>
              <a:defRPr b="0"/>
            </a:pPr>
            <a:r>
              <a:rPr lang="en-US" b="0"/>
              <a:t>Eanes ISD, by School Year</a:t>
            </a:r>
          </a:p>
        </c:rich>
      </c:tx>
      <c:overlay val="0"/>
    </c:title>
    <c:autoTitleDeleted val="0"/>
    <c:plotArea>
      <c:layout/>
      <c:barChart>
        <c:barDir val="col"/>
        <c:grouping val="clustered"/>
        <c:varyColors val="0"/>
        <c:ser>
          <c:idx val="0"/>
          <c:order val="0"/>
          <c:tx>
            <c:strRef>
              <c:f>'Overall Breakdown'!$B$46</c:f>
              <c:strCache>
                <c:ptCount val="1"/>
                <c:pt idx="0">
                  <c:v>2013-2014</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Breakdown'!$D$46:$G$46</c:f>
              <c:numCache>
                <c:formatCode>0.0%</c:formatCode>
                <c:ptCount val="4"/>
                <c:pt idx="0">
                  <c:v>1.9E-2</c:v>
                </c:pt>
                <c:pt idx="1">
                  <c:v>5.3E-3</c:v>
                </c:pt>
                <c:pt idx="2">
                  <c:v>4.7000000000000002E-3</c:v>
                </c:pt>
                <c:pt idx="3">
                  <c:v>0</c:v>
                </c:pt>
              </c:numCache>
            </c:numRef>
          </c:val>
          <c:extLst>
            <c:ext xmlns:c16="http://schemas.microsoft.com/office/drawing/2014/chart" uri="{C3380CC4-5D6E-409C-BE32-E72D297353CC}">
              <c16:uniqueId val="{00000000-2A17-4718-BFF2-1BE8C628929C}"/>
            </c:ext>
          </c:extLst>
        </c:ser>
        <c:ser>
          <c:idx val="1"/>
          <c:order val="1"/>
          <c:tx>
            <c:strRef>
              <c:f>'Overall Breakdown'!$B$47</c:f>
              <c:strCache>
                <c:ptCount val="1"/>
                <c:pt idx="0">
                  <c:v>2014-2015</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Breakdown'!$D$47:$G$47</c:f>
              <c:numCache>
                <c:formatCode>0.0%</c:formatCode>
                <c:ptCount val="4"/>
                <c:pt idx="0">
                  <c:v>2.2934648581997535E-2</c:v>
                </c:pt>
                <c:pt idx="1">
                  <c:v>6.7817509247842167E-3</c:v>
                </c:pt>
                <c:pt idx="2">
                  <c:v>3.9457459926017261E-3</c:v>
                </c:pt>
              </c:numCache>
            </c:numRef>
          </c:val>
          <c:extLst>
            <c:ext xmlns:c16="http://schemas.microsoft.com/office/drawing/2014/chart" uri="{C3380CC4-5D6E-409C-BE32-E72D297353CC}">
              <c16:uniqueId val="{00000001-2A17-4718-BFF2-1BE8C628929C}"/>
            </c:ext>
          </c:extLst>
        </c:ser>
        <c:ser>
          <c:idx val="2"/>
          <c:order val="2"/>
          <c:tx>
            <c:strRef>
              <c:f>'Overall Breakdown'!$B$48</c:f>
              <c:strCache>
                <c:ptCount val="1"/>
                <c:pt idx="0">
                  <c:v>2015-2016</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Breakdown'!$D$48:$G$48</c:f>
              <c:numCache>
                <c:formatCode>0.0%</c:formatCode>
                <c:ptCount val="4"/>
                <c:pt idx="0">
                  <c:v>2.0929666585543929E-2</c:v>
                </c:pt>
                <c:pt idx="1">
                  <c:v>8.2745193477731811E-3</c:v>
                </c:pt>
                <c:pt idx="2">
                  <c:v>4.6239961061085421E-3</c:v>
                </c:pt>
              </c:numCache>
            </c:numRef>
          </c:val>
          <c:extLst>
            <c:ext xmlns:c16="http://schemas.microsoft.com/office/drawing/2014/chart" uri="{C3380CC4-5D6E-409C-BE32-E72D297353CC}">
              <c16:uniqueId val="{00000002-2A17-4718-BFF2-1BE8C628929C}"/>
            </c:ext>
          </c:extLst>
        </c:ser>
        <c:ser>
          <c:idx val="3"/>
          <c:order val="3"/>
          <c:tx>
            <c:strRef>
              <c:f>'Overall Breakdown'!$B$49</c:f>
              <c:strCache>
                <c:ptCount val="1"/>
                <c:pt idx="0">
                  <c:v>2016-2017</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Breakdown'!$D$49:$G$49</c:f>
              <c:numCache>
                <c:formatCode>0.0%</c:formatCode>
                <c:ptCount val="4"/>
                <c:pt idx="0">
                  <c:v>2.3662924061330436E-2</c:v>
                </c:pt>
                <c:pt idx="1">
                  <c:v>7.7266690812507546E-3</c:v>
                </c:pt>
                <c:pt idx="2">
                  <c:v>3.2596885186526622E-3</c:v>
                </c:pt>
              </c:numCache>
            </c:numRef>
          </c:val>
          <c:extLst>
            <c:ext xmlns:c16="http://schemas.microsoft.com/office/drawing/2014/chart" uri="{C3380CC4-5D6E-409C-BE32-E72D297353CC}">
              <c16:uniqueId val="{00000003-2A17-4718-BFF2-1BE8C628929C}"/>
            </c:ext>
          </c:extLst>
        </c:ser>
        <c:ser>
          <c:idx val="4"/>
          <c:order val="4"/>
          <c:tx>
            <c:strRef>
              <c:f>'Overall Breakdown'!$B$50</c:f>
              <c:strCache>
                <c:ptCount val="1"/>
                <c:pt idx="0">
                  <c:v>2017-2018</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Breakdown'!$D$50:$G$50</c:f>
              <c:numCache>
                <c:formatCode>0.0%</c:formatCode>
                <c:ptCount val="4"/>
                <c:pt idx="0">
                  <c:v>2.6895460630400391E-2</c:v>
                </c:pt>
                <c:pt idx="1">
                  <c:v>8.7623220153340634E-3</c:v>
                </c:pt>
                <c:pt idx="2">
                  <c:v>3.2858707557502738E-3</c:v>
                </c:pt>
              </c:numCache>
            </c:numRef>
          </c:val>
          <c:extLst>
            <c:ext xmlns:c16="http://schemas.microsoft.com/office/drawing/2014/chart" uri="{C3380CC4-5D6E-409C-BE32-E72D297353CC}">
              <c16:uniqueId val="{00000004-2A17-4718-BFF2-1BE8C628929C}"/>
            </c:ext>
          </c:extLst>
        </c:ser>
        <c:ser>
          <c:idx val="5"/>
          <c:order val="5"/>
          <c:tx>
            <c:strRef>
              <c:f>'Overall Breakdown'!$B$51</c:f>
              <c:strCache>
                <c:ptCount val="1"/>
                <c:pt idx="0">
                  <c:v>2018-2019</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Breakdown'!$D$51:$G$51</c:f>
              <c:numCache>
                <c:formatCode>0.0%</c:formatCode>
                <c:ptCount val="4"/>
                <c:pt idx="0">
                  <c:v>2.3166023166023165E-2</c:v>
                </c:pt>
                <c:pt idx="1">
                  <c:v>6.0328185328185329E-3</c:v>
                </c:pt>
                <c:pt idx="2">
                  <c:v>2.5337837837837839E-3</c:v>
                </c:pt>
              </c:numCache>
            </c:numRef>
          </c:val>
          <c:extLst>
            <c:ext xmlns:c16="http://schemas.microsoft.com/office/drawing/2014/chart" uri="{C3380CC4-5D6E-409C-BE32-E72D297353CC}">
              <c16:uniqueId val="{00000000-E425-45E5-AC55-B77907BC7B2B}"/>
            </c:ext>
          </c:extLst>
        </c:ser>
        <c:dLbls>
          <c:showLegendKey val="0"/>
          <c:showVal val="0"/>
          <c:showCatName val="0"/>
          <c:showSerName val="0"/>
          <c:showPercent val="0"/>
          <c:showBubbleSize val="0"/>
        </c:dLbls>
        <c:gapWidth val="150"/>
        <c:axId val="531463568"/>
        <c:axId val="1"/>
      </c:barChart>
      <c:catAx>
        <c:axId val="531463568"/>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0.2"/>
        </c:scaling>
        <c:delete val="0"/>
        <c:axPos val="l"/>
        <c:majorGridlines/>
        <c:numFmt formatCode="0.0%" sourceLinked="1"/>
        <c:majorTickMark val="none"/>
        <c:minorTickMark val="none"/>
        <c:tickLblPos val="nextTo"/>
        <c:crossAx val="531463568"/>
        <c:crosses val="autoZero"/>
        <c:crossBetween val="between"/>
      </c:valAx>
    </c:plotArea>
    <c:legend>
      <c:legendPos val="r"/>
      <c:layout>
        <c:manualLayout>
          <c:xMode val="edge"/>
          <c:yMode val="edge"/>
          <c:x val="0.83685151922105561"/>
          <c:y val="0.39678452992748081"/>
          <c:w val="0.14097459863930512"/>
          <c:h val="0.48479660551814402"/>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Percent of Students Subject to Each Type of Disciplinary Action,</a:t>
            </a:r>
          </a:p>
          <a:p>
            <a:pPr>
              <a:defRPr b="0"/>
            </a:pPr>
            <a:r>
              <a:rPr lang="en-US" b="0"/>
              <a:t>Lago Vista ISD, by School Year</a:t>
            </a:r>
          </a:p>
        </c:rich>
      </c:tx>
      <c:overlay val="0"/>
    </c:title>
    <c:autoTitleDeleted val="0"/>
    <c:plotArea>
      <c:layout/>
      <c:barChart>
        <c:barDir val="col"/>
        <c:grouping val="clustered"/>
        <c:varyColors val="0"/>
        <c:ser>
          <c:idx val="0"/>
          <c:order val="0"/>
          <c:tx>
            <c:strRef>
              <c:f>'Overall Breakdown'!$B$60</c:f>
              <c:strCache>
                <c:ptCount val="1"/>
                <c:pt idx="0">
                  <c:v>2013-2014</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Breakdown'!$D$60:$G$60</c:f>
              <c:numCache>
                <c:formatCode>0.0%</c:formatCode>
                <c:ptCount val="4"/>
                <c:pt idx="0">
                  <c:v>9.4899999999999998E-2</c:v>
                </c:pt>
                <c:pt idx="2">
                  <c:v>9.4999999999999998E-3</c:v>
                </c:pt>
                <c:pt idx="3">
                  <c:v>0</c:v>
                </c:pt>
              </c:numCache>
            </c:numRef>
          </c:val>
          <c:extLst>
            <c:ext xmlns:c16="http://schemas.microsoft.com/office/drawing/2014/chart" uri="{C3380CC4-5D6E-409C-BE32-E72D297353CC}">
              <c16:uniqueId val="{00000000-EDBF-49EB-9980-9D2EC7E871B3}"/>
            </c:ext>
          </c:extLst>
        </c:ser>
        <c:ser>
          <c:idx val="1"/>
          <c:order val="1"/>
          <c:tx>
            <c:strRef>
              <c:f>'Overall Breakdown'!$B$61</c:f>
              <c:strCache>
                <c:ptCount val="1"/>
                <c:pt idx="0">
                  <c:v>2014-2015</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Breakdown'!$D$61:$G$61</c:f>
              <c:numCache>
                <c:formatCode>0.0%</c:formatCode>
                <c:ptCount val="4"/>
                <c:pt idx="0">
                  <c:v>9.8715348208248815E-2</c:v>
                </c:pt>
                <c:pt idx="1">
                  <c:v>1.0818120351588911E-2</c:v>
                </c:pt>
                <c:pt idx="2">
                  <c:v>8.1135902636916835E-3</c:v>
                </c:pt>
              </c:numCache>
            </c:numRef>
          </c:val>
          <c:extLst>
            <c:ext xmlns:c16="http://schemas.microsoft.com/office/drawing/2014/chart" uri="{C3380CC4-5D6E-409C-BE32-E72D297353CC}">
              <c16:uniqueId val="{00000001-EDBF-49EB-9980-9D2EC7E871B3}"/>
            </c:ext>
          </c:extLst>
        </c:ser>
        <c:ser>
          <c:idx val="2"/>
          <c:order val="2"/>
          <c:tx>
            <c:strRef>
              <c:f>'Overall Breakdown'!$B$62</c:f>
              <c:strCache>
                <c:ptCount val="1"/>
                <c:pt idx="0">
                  <c:v>2015-2016</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Breakdown'!$D$62:$G$62</c:f>
              <c:numCache>
                <c:formatCode>0.0%</c:formatCode>
                <c:ptCount val="4"/>
                <c:pt idx="0">
                  <c:v>0.105229180116204</c:v>
                </c:pt>
                <c:pt idx="1">
                  <c:v>2.0012911555842477E-2</c:v>
                </c:pt>
                <c:pt idx="2">
                  <c:v>2.130406714009038E-2</c:v>
                </c:pt>
              </c:numCache>
            </c:numRef>
          </c:val>
          <c:extLst>
            <c:ext xmlns:c16="http://schemas.microsoft.com/office/drawing/2014/chart" uri="{C3380CC4-5D6E-409C-BE32-E72D297353CC}">
              <c16:uniqueId val="{00000002-EDBF-49EB-9980-9D2EC7E871B3}"/>
            </c:ext>
          </c:extLst>
        </c:ser>
        <c:ser>
          <c:idx val="3"/>
          <c:order val="3"/>
          <c:tx>
            <c:strRef>
              <c:f>'Overall Breakdown'!$B$63</c:f>
              <c:strCache>
                <c:ptCount val="1"/>
                <c:pt idx="0">
                  <c:v>2016-2017</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Breakdown'!$D$63:$G$63</c:f>
              <c:numCache>
                <c:formatCode>0.0%</c:formatCode>
                <c:ptCount val="4"/>
                <c:pt idx="0">
                  <c:v>6.3192182410423459E-2</c:v>
                </c:pt>
                <c:pt idx="1">
                  <c:v>2.0846905537459284E-2</c:v>
                </c:pt>
                <c:pt idx="2">
                  <c:v>8.4690553745928338E-3</c:v>
                </c:pt>
              </c:numCache>
            </c:numRef>
          </c:val>
          <c:extLst>
            <c:ext xmlns:c16="http://schemas.microsoft.com/office/drawing/2014/chart" uri="{C3380CC4-5D6E-409C-BE32-E72D297353CC}">
              <c16:uniqueId val="{00000003-EDBF-49EB-9980-9D2EC7E871B3}"/>
            </c:ext>
          </c:extLst>
        </c:ser>
        <c:ser>
          <c:idx val="4"/>
          <c:order val="4"/>
          <c:tx>
            <c:strRef>
              <c:f>'Overall Breakdown'!$B$64</c:f>
              <c:strCache>
                <c:ptCount val="1"/>
                <c:pt idx="0">
                  <c:v>2017-2018</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Breakdown'!$D$64:$G$64</c:f>
              <c:numCache>
                <c:formatCode>0.0%</c:formatCode>
                <c:ptCount val="4"/>
                <c:pt idx="0">
                  <c:v>8.7664370695053229E-2</c:v>
                </c:pt>
                <c:pt idx="1">
                  <c:v>1.1271133375078271E-2</c:v>
                </c:pt>
                <c:pt idx="2">
                  <c:v>1.3149655604257984E-2</c:v>
                </c:pt>
              </c:numCache>
            </c:numRef>
          </c:val>
          <c:extLst>
            <c:ext xmlns:c16="http://schemas.microsoft.com/office/drawing/2014/chart" uri="{C3380CC4-5D6E-409C-BE32-E72D297353CC}">
              <c16:uniqueId val="{00000004-EDBF-49EB-9980-9D2EC7E871B3}"/>
            </c:ext>
          </c:extLst>
        </c:ser>
        <c:ser>
          <c:idx val="5"/>
          <c:order val="5"/>
          <c:tx>
            <c:strRef>
              <c:f>'Overall Breakdown'!$B$65</c:f>
              <c:strCache>
                <c:ptCount val="1"/>
                <c:pt idx="0">
                  <c:v>2018-2019</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Breakdown'!$D$65:$G$65</c:f>
              <c:numCache>
                <c:formatCode>0.0%</c:formatCode>
                <c:ptCount val="4"/>
                <c:pt idx="0">
                  <c:v>0.1029678982434888</c:v>
                </c:pt>
                <c:pt idx="1">
                  <c:v>2.8467595396729255E-2</c:v>
                </c:pt>
                <c:pt idx="2">
                  <c:v>2.1199273167777106E-2</c:v>
                </c:pt>
              </c:numCache>
            </c:numRef>
          </c:val>
          <c:extLst>
            <c:ext xmlns:c16="http://schemas.microsoft.com/office/drawing/2014/chart" uri="{C3380CC4-5D6E-409C-BE32-E72D297353CC}">
              <c16:uniqueId val="{00000000-72A6-45DE-889F-1FE6A0E9F97C}"/>
            </c:ext>
          </c:extLst>
        </c:ser>
        <c:dLbls>
          <c:showLegendKey val="0"/>
          <c:showVal val="0"/>
          <c:showCatName val="0"/>
          <c:showSerName val="0"/>
          <c:showPercent val="0"/>
          <c:showBubbleSize val="0"/>
        </c:dLbls>
        <c:gapWidth val="150"/>
        <c:axId val="531473168"/>
        <c:axId val="1"/>
      </c:barChart>
      <c:catAx>
        <c:axId val="531473168"/>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0.25"/>
        </c:scaling>
        <c:delete val="0"/>
        <c:axPos val="l"/>
        <c:majorGridlines/>
        <c:numFmt formatCode="0.0%" sourceLinked="1"/>
        <c:majorTickMark val="none"/>
        <c:minorTickMark val="none"/>
        <c:tickLblPos val="nextTo"/>
        <c:crossAx val="531473168"/>
        <c:crosses val="autoZero"/>
        <c:crossBetween val="between"/>
      </c:valAx>
    </c:plotArea>
    <c:legend>
      <c:legendPos val="r"/>
      <c:layout>
        <c:manualLayout>
          <c:xMode val="edge"/>
          <c:yMode val="edge"/>
          <c:x val="0.83685151922105561"/>
          <c:y val="0.39678452992748081"/>
          <c:w val="0.14097459863930512"/>
          <c:h val="0.48479660551814402"/>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Percent of Students Subject to Each Type of Disciplinary Action,</a:t>
            </a:r>
          </a:p>
          <a:p>
            <a:pPr>
              <a:defRPr b="0"/>
            </a:pPr>
            <a:r>
              <a:rPr lang="en-US" b="0"/>
              <a:t>Lake Travis ISD, by School Year</a:t>
            </a:r>
          </a:p>
        </c:rich>
      </c:tx>
      <c:overlay val="0"/>
    </c:title>
    <c:autoTitleDeleted val="0"/>
    <c:plotArea>
      <c:layout/>
      <c:barChart>
        <c:barDir val="col"/>
        <c:grouping val="clustered"/>
        <c:varyColors val="0"/>
        <c:ser>
          <c:idx val="0"/>
          <c:order val="0"/>
          <c:tx>
            <c:strRef>
              <c:f>'Overall Breakdown'!$B$88</c:f>
              <c:strCache>
                <c:ptCount val="1"/>
                <c:pt idx="0">
                  <c:v>2013-2014</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Breakdown'!$D$88:$G$88</c:f>
              <c:numCache>
                <c:formatCode>0.0%</c:formatCode>
                <c:ptCount val="4"/>
                <c:pt idx="0">
                  <c:v>4.3499999999999997E-2</c:v>
                </c:pt>
                <c:pt idx="1">
                  <c:v>4.7999999999999996E-3</c:v>
                </c:pt>
                <c:pt idx="2">
                  <c:v>6.8999999999999999E-3</c:v>
                </c:pt>
              </c:numCache>
            </c:numRef>
          </c:val>
          <c:extLst>
            <c:ext xmlns:c16="http://schemas.microsoft.com/office/drawing/2014/chart" uri="{C3380CC4-5D6E-409C-BE32-E72D297353CC}">
              <c16:uniqueId val="{00000000-50FE-4354-BD5F-7D4376EFB9B3}"/>
            </c:ext>
          </c:extLst>
        </c:ser>
        <c:ser>
          <c:idx val="1"/>
          <c:order val="1"/>
          <c:tx>
            <c:strRef>
              <c:f>'Overall Breakdown'!$B$89</c:f>
              <c:strCache>
                <c:ptCount val="1"/>
                <c:pt idx="0">
                  <c:v>2014-2015</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Breakdown'!$D$89:$G$89</c:f>
              <c:numCache>
                <c:formatCode>0.0%</c:formatCode>
                <c:ptCount val="4"/>
                <c:pt idx="0">
                  <c:v>4.2574041811846687E-2</c:v>
                </c:pt>
                <c:pt idx="1">
                  <c:v>5.4442508710801397E-3</c:v>
                </c:pt>
                <c:pt idx="2">
                  <c:v>5.9886759581881535E-3</c:v>
                </c:pt>
              </c:numCache>
            </c:numRef>
          </c:val>
          <c:extLst>
            <c:ext xmlns:c16="http://schemas.microsoft.com/office/drawing/2014/chart" uri="{C3380CC4-5D6E-409C-BE32-E72D297353CC}">
              <c16:uniqueId val="{00000001-50FE-4354-BD5F-7D4376EFB9B3}"/>
            </c:ext>
          </c:extLst>
        </c:ser>
        <c:ser>
          <c:idx val="2"/>
          <c:order val="2"/>
          <c:tx>
            <c:strRef>
              <c:f>'Overall Breakdown'!$B$90</c:f>
              <c:strCache>
                <c:ptCount val="1"/>
                <c:pt idx="0">
                  <c:v>2015-2016</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Breakdown'!$D$90:$G$90</c:f>
              <c:numCache>
                <c:formatCode>0.0%</c:formatCode>
                <c:ptCount val="4"/>
                <c:pt idx="0">
                  <c:v>3.7268373932958565E-2</c:v>
                </c:pt>
                <c:pt idx="1">
                  <c:v>6.8707058088694562E-3</c:v>
                </c:pt>
                <c:pt idx="2">
                  <c:v>5.7255881740578803E-3</c:v>
                </c:pt>
              </c:numCache>
            </c:numRef>
          </c:val>
          <c:extLst>
            <c:ext xmlns:c16="http://schemas.microsoft.com/office/drawing/2014/chart" uri="{C3380CC4-5D6E-409C-BE32-E72D297353CC}">
              <c16:uniqueId val="{00000002-50FE-4354-BD5F-7D4376EFB9B3}"/>
            </c:ext>
          </c:extLst>
        </c:ser>
        <c:ser>
          <c:idx val="3"/>
          <c:order val="3"/>
          <c:tx>
            <c:strRef>
              <c:f>'Overall Breakdown'!$B$91</c:f>
              <c:strCache>
                <c:ptCount val="1"/>
                <c:pt idx="0">
                  <c:v>2016-2017</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Breakdown'!$D$91:$G$91</c:f>
              <c:numCache>
                <c:formatCode>0.0%</c:formatCode>
                <c:ptCount val="4"/>
                <c:pt idx="0">
                  <c:v>4.1373239436619719E-2</c:v>
                </c:pt>
                <c:pt idx="1">
                  <c:v>5.770735524256651E-3</c:v>
                </c:pt>
                <c:pt idx="2">
                  <c:v>4.4014084507042256E-3</c:v>
                </c:pt>
              </c:numCache>
            </c:numRef>
          </c:val>
          <c:extLst>
            <c:ext xmlns:c16="http://schemas.microsoft.com/office/drawing/2014/chart" uri="{C3380CC4-5D6E-409C-BE32-E72D297353CC}">
              <c16:uniqueId val="{00000003-50FE-4354-BD5F-7D4376EFB9B3}"/>
            </c:ext>
          </c:extLst>
        </c:ser>
        <c:ser>
          <c:idx val="4"/>
          <c:order val="4"/>
          <c:tx>
            <c:strRef>
              <c:f>'Overall Breakdown'!$B$92</c:f>
              <c:strCache>
                <c:ptCount val="1"/>
                <c:pt idx="0">
                  <c:v>2017-2018</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Breakdown'!$D$92:$G$92</c:f>
              <c:numCache>
                <c:formatCode>0.0%</c:formatCode>
                <c:ptCount val="4"/>
                <c:pt idx="0">
                  <c:v>2.638644569947227E-2</c:v>
                </c:pt>
                <c:pt idx="1">
                  <c:v>8.147393759837052E-3</c:v>
                </c:pt>
                <c:pt idx="2">
                  <c:v>4.3514489399129712E-3</c:v>
                </c:pt>
              </c:numCache>
            </c:numRef>
          </c:val>
          <c:extLst>
            <c:ext xmlns:c16="http://schemas.microsoft.com/office/drawing/2014/chart" uri="{C3380CC4-5D6E-409C-BE32-E72D297353CC}">
              <c16:uniqueId val="{00000004-50FE-4354-BD5F-7D4376EFB9B3}"/>
            </c:ext>
          </c:extLst>
        </c:ser>
        <c:ser>
          <c:idx val="5"/>
          <c:order val="5"/>
          <c:tx>
            <c:strRef>
              <c:f>'Overall Breakdown'!$B$93</c:f>
              <c:strCache>
                <c:ptCount val="1"/>
                <c:pt idx="0">
                  <c:v>2018-2019</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Breakdown'!$D$93:$G$93</c:f>
              <c:numCache>
                <c:formatCode>0.0%</c:formatCode>
                <c:ptCount val="4"/>
                <c:pt idx="0">
                  <c:v>3.0999369198882579E-2</c:v>
                </c:pt>
                <c:pt idx="1">
                  <c:v>9.8224745426691903E-3</c:v>
                </c:pt>
                <c:pt idx="2">
                  <c:v>3.0638911417500223E-3</c:v>
                </c:pt>
              </c:numCache>
            </c:numRef>
          </c:val>
          <c:extLst>
            <c:ext xmlns:c16="http://schemas.microsoft.com/office/drawing/2014/chart" uri="{C3380CC4-5D6E-409C-BE32-E72D297353CC}">
              <c16:uniqueId val="{00000000-E212-49A4-894D-24628C79839D}"/>
            </c:ext>
          </c:extLst>
        </c:ser>
        <c:dLbls>
          <c:showLegendKey val="0"/>
          <c:showVal val="0"/>
          <c:showCatName val="0"/>
          <c:showSerName val="0"/>
          <c:showPercent val="0"/>
          <c:showBubbleSize val="0"/>
        </c:dLbls>
        <c:gapWidth val="150"/>
        <c:axId val="531471248"/>
        <c:axId val="1"/>
      </c:barChart>
      <c:catAx>
        <c:axId val="531471248"/>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0.25"/>
        </c:scaling>
        <c:delete val="0"/>
        <c:axPos val="l"/>
        <c:majorGridlines/>
        <c:numFmt formatCode="0.0%" sourceLinked="1"/>
        <c:majorTickMark val="none"/>
        <c:minorTickMark val="none"/>
        <c:tickLblPos val="nextTo"/>
        <c:crossAx val="531471248"/>
        <c:crosses val="autoZero"/>
        <c:crossBetween val="between"/>
      </c:valAx>
    </c:plotArea>
    <c:legend>
      <c:legendPos val="r"/>
      <c:layout>
        <c:manualLayout>
          <c:xMode val="edge"/>
          <c:yMode val="edge"/>
          <c:x val="0.83685151922105561"/>
          <c:y val="0.39247453495801193"/>
          <c:w val="0.14097459863930512"/>
          <c:h val="0.48609982219964443"/>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Percent of Students Subject to Each Type of Disciplinary Action,</a:t>
            </a:r>
          </a:p>
          <a:p>
            <a:pPr>
              <a:defRPr b="0"/>
            </a:pPr>
            <a:r>
              <a:rPr lang="en-US" b="0"/>
              <a:t>Leander ISD, by School Year</a:t>
            </a:r>
          </a:p>
        </c:rich>
      </c:tx>
      <c:overlay val="0"/>
    </c:title>
    <c:autoTitleDeleted val="0"/>
    <c:plotArea>
      <c:layout/>
      <c:barChart>
        <c:barDir val="col"/>
        <c:grouping val="clustered"/>
        <c:varyColors val="0"/>
        <c:ser>
          <c:idx val="0"/>
          <c:order val="0"/>
          <c:tx>
            <c:strRef>
              <c:f>'Overall Breakdown'!$B$74</c:f>
              <c:strCache>
                <c:ptCount val="1"/>
                <c:pt idx="0">
                  <c:v>2013-2014</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Breakdown'!$D$74:$G$74</c:f>
              <c:numCache>
                <c:formatCode>0.0%</c:formatCode>
                <c:ptCount val="4"/>
                <c:pt idx="0">
                  <c:v>4.9700000000000001E-2</c:v>
                </c:pt>
                <c:pt idx="1">
                  <c:v>3.8E-3</c:v>
                </c:pt>
                <c:pt idx="2">
                  <c:v>9.7000000000000003E-3</c:v>
                </c:pt>
                <c:pt idx="3">
                  <c:v>1E-3</c:v>
                </c:pt>
              </c:numCache>
            </c:numRef>
          </c:val>
          <c:extLst>
            <c:ext xmlns:c16="http://schemas.microsoft.com/office/drawing/2014/chart" uri="{C3380CC4-5D6E-409C-BE32-E72D297353CC}">
              <c16:uniqueId val="{00000000-FA22-49DA-BCD6-6D86430864B7}"/>
            </c:ext>
          </c:extLst>
        </c:ser>
        <c:ser>
          <c:idx val="1"/>
          <c:order val="1"/>
          <c:tx>
            <c:strRef>
              <c:f>'Overall Breakdown'!$B$75</c:f>
              <c:strCache>
                <c:ptCount val="1"/>
                <c:pt idx="0">
                  <c:v>2014-2015</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Breakdown'!$D$75:$G$75</c:f>
              <c:numCache>
                <c:formatCode>0.0%</c:formatCode>
                <c:ptCount val="4"/>
                <c:pt idx="0">
                  <c:v>4.8092650240067536E-2</c:v>
                </c:pt>
                <c:pt idx="1">
                  <c:v>3.7461087954413549E-3</c:v>
                </c:pt>
                <c:pt idx="2">
                  <c:v>9.7346066585764779E-3</c:v>
                </c:pt>
                <c:pt idx="3">
                  <c:v>7.1228829209096182E-4</c:v>
                </c:pt>
              </c:numCache>
            </c:numRef>
          </c:val>
          <c:extLst>
            <c:ext xmlns:c16="http://schemas.microsoft.com/office/drawing/2014/chart" uri="{C3380CC4-5D6E-409C-BE32-E72D297353CC}">
              <c16:uniqueId val="{00000001-FA22-49DA-BCD6-6D86430864B7}"/>
            </c:ext>
          </c:extLst>
        </c:ser>
        <c:ser>
          <c:idx val="2"/>
          <c:order val="2"/>
          <c:tx>
            <c:strRef>
              <c:f>'Overall Breakdown'!$B$76</c:f>
              <c:strCache>
                <c:ptCount val="1"/>
                <c:pt idx="0">
                  <c:v>2015-2016</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Breakdown'!$D$76:$G$76</c:f>
              <c:numCache>
                <c:formatCode>0.0%</c:formatCode>
                <c:ptCount val="4"/>
                <c:pt idx="0">
                  <c:v>4.8095262642404248E-2</c:v>
                </c:pt>
                <c:pt idx="1">
                  <c:v>4.4589927315841025E-3</c:v>
                </c:pt>
                <c:pt idx="2">
                  <c:v>9.0984071343883713E-3</c:v>
                </c:pt>
                <c:pt idx="3">
                  <c:v>5.9281406258054534E-4</c:v>
                </c:pt>
              </c:numCache>
            </c:numRef>
          </c:val>
          <c:extLst>
            <c:ext xmlns:c16="http://schemas.microsoft.com/office/drawing/2014/chart" uri="{C3380CC4-5D6E-409C-BE32-E72D297353CC}">
              <c16:uniqueId val="{00000002-FA22-49DA-BCD6-6D86430864B7}"/>
            </c:ext>
          </c:extLst>
        </c:ser>
        <c:ser>
          <c:idx val="3"/>
          <c:order val="3"/>
          <c:tx>
            <c:strRef>
              <c:f>'Overall Breakdown'!$B$77</c:f>
              <c:strCache>
                <c:ptCount val="1"/>
                <c:pt idx="0">
                  <c:v>2016-2017</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Breakdown'!$D$77:$G$77</c:f>
              <c:numCache>
                <c:formatCode>0.0%</c:formatCode>
                <c:ptCount val="4"/>
                <c:pt idx="0">
                  <c:v>5.1172119844553089E-2</c:v>
                </c:pt>
                <c:pt idx="1">
                  <c:v>3.4850194308637334E-3</c:v>
                </c:pt>
                <c:pt idx="2">
                  <c:v>9.1513100162968538E-3</c:v>
                </c:pt>
                <c:pt idx="3">
                  <c:v>5.7665789143788396E-4</c:v>
                </c:pt>
              </c:numCache>
            </c:numRef>
          </c:val>
          <c:extLst>
            <c:ext xmlns:c16="http://schemas.microsoft.com/office/drawing/2014/chart" uri="{C3380CC4-5D6E-409C-BE32-E72D297353CC}">
              <c16:uniqueId val="{00000003-FA22-49DA-BCD6-6D86430864B7}"/>
            </c:ext>
          </c:extLst>
        </c:ser>
        <c:ser>
          <c:idx val="4"/>
          <c:order val="4"/>
          <c:tx>
            <c:strRef>
              <c:f>'Overall Breakdown'!$B$78</c:f>
              <c:strCache>
                <c:ptCount val="1"/>
                <c:pt idx="0">
                  <c:v>2017-2018</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Breakdown'!$D$78:$G$78</c:f>
              <c:numCache>
                <c:formatCode>0.0%</c:formatCode>
                <c:ptCount val="4"/>
                <c:pt idx="0">
                  <c:v>5.859909998043436E-2</c:v>
                </c:pt>
                <c:pt idx="1">
                  <c:v>4.8424965760125224E-3</c:v>
                </c:pt>
                <c:pt idx="2">
                  <c:v>1.0174134220309137E-2</c:v>
                </c:pt>
                <c:pt idx="3">
                  <c:v>5.6251222852670714E-4</c:v>
                </c:pt>
              </c:numCache>
            </c:numRef>
          </c:val>
          <c:extLst>
            <c:ext xmlns:c16="http://schemas.microsoft.com/office/drawing/2014/chart" uri="{C3380CC4-5D6E-409C-BE32-E72D297353CC}">
              <c16:uniqueId val="{00000004-FA22-49DA-BCD6-6D86430864B7}"/>
            </c:ext>
          </c:extLst>
        </c:ser>
        <c:ser>
          <c:idx val="5"/>
          <c:order val="5"/>
          <c:tx>
            <c:strRef>
              <c:f>'Overall Breakdown'!$B$79</c:f>
              <c:strCache>
                <c:ptCount val="1"/>
                <c:pt idx="0">
                  <c:v>2018-2019</c:v>
                </c:pt>
              </c:strCache>
            </c:strRef>
          </c:tx>
          <c:invertIfNegative val="0"/>
          <c:cat>
            <c:strRef>
              <c:f>'Overall Breakdown'!$D$5:$G$5</c:f>
              <c:strCache>
                <c:ptCount val="4"/>
                <c:pt idx="0">
                  <c:v>ISS Percent</c:v>
                </c:pt>
                <c:pt idx="1">
                  <c:v>OSS Percent</c:v>
                </c:pt>
                <c:pt idx="2">
                  <c:v>DAEP Percent</c:v>
                </c:pt>
                <c:pt idx="3">
                  <c:v>JJAEP Percent</c:v>
                </c:pt>
              </c:strCache>
            </c:strRef>
          </c:cat>
          <c:val>
            <c:numRef>
              <c:f>'Overall Breakdown'!$D$79:$G$79</c:f>
              <c:numCache>
                <c:formatCode>0.0%</c:formatCode>
                <c:ptCount val="4"/>
                <c:pt idx="0">
                  <c:v>5.6130478325146643E-2</c:v>
                </c:pt>
                <c:pt idx="1">
                  <c:v>5.2696838189708614E-3</c:v>
                </c:pt>
                <c:pt idx="2">
                  <c:v>1.0134007344174734E-2</c:v>
                </c:pt>
                <c:pt idx="3">
                  <c:v>5.0073918641804565E-4</c:v>
                </c:pt>
              </c:numCache>
            </c:numRef>
          </c:val>
          <c:extLst>
            <c:ext xmlns:c16="http://schemas.microsoft.com/office/drawing/2014/chart" uri="{C3380CC4-5D6E-409C-BE32-E72D297353CC}">
              <c16:uniqueId val="{00000000-2EC3-4FDF-81EA-22CD0401120B}"/>
            </c:ext>
          </c:extLst>
        </c:ser>
        <c:dLbls>
          <c:showLegendKey val="0"/>
          <c:showVal val="0"/>
          <c:showCatName val="0"/>
          <c:showSerName val="0"/>
          <c:showPercent val="0"/>
          <c:showBubbleSize val="0"/>
        </c:dLbls>
        <c:gapWidth val="150"/>
        <c:axId val="531475728"/>
        <c:axId val="1"/>
      </c:barChart>
      <c:catAx>
        <c:axId val="531475728"/>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0.25"/>
        </c:scaling>
        <c:delete val="0"/>
        <c:axPos val="l"/>
        <c:majorGridlines/>
        <c:numFmt formatCode="0.0%" sourceLinked="1"/>
        <c:majorTickMark val="none"/>
        <c:minorTickMark val="none"/>
        <c:tickLblPos val="nextTo"/>
        <c:crossAx val="531475728"/>
        <c:crosses val="autoZero"/>
        <c:crossBetween val="between"/>
      </c:valAx>
    </c:plotArea>
    <c:legend>
      <c:legendPos val="r"/>
      <c:layout>
        <c:manualLayout>
          <c:xMode val="edge"/>
          <c:yMode val="edge"/>
          <c:x val="0.83780116037587393"/>
          <c:y val="0.39678452992748081"/>
          <c:w val="0.14137227028567834"/>
          <c:h val="0.48479660551814402"/>
        </c:manualLayout>
      </c:layout>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Students Subject to School Disciplinary Action,</a:t>
            </a:r>
          </a:p>
          <a:p>
            <a:pPr>
              <a:defRPr/>
            </a:pPr>
            <a:r>
              <a:rPr lang="en-US"/>
              <a:t>Austin ISD, 2018-2019 School Year</a:t>
            </a:r>
          </a:p>
        </c:rich>
      </c:tx>
      <c:overlay val="0"/>
    </c:title>
    <c:autoTitleDeleted val="0"/>
    <c:plotArea>
      <c:layout/>
      <c:barChart>
        <c:barDir val="col"/>
        <c:grouping val="clustered"/>
        <c:varyColors val="0"/>
        <c:ser>
          <c:idx val="0"/>
          <c:order val="0"/>
          <c:tx>
            <c:strRef>
              <c:f>'Race by District'!$B$11</c:f>
              <c:strCache>
                <c:ptCount val="1"/>
                <c:pt idx="0">
                  <c:v>Asian</c:v>
                </c:pt>
              </c:strCache>
            </c:strRef>
          </c:tx>
          <c:spPr>
            <a:solidFill>
              <a:schemeClr val="accent6"/>
            </a:solidFill>
          </c:spPr>
          <c:invertIfNegative val="0"/>
          <c:cat>
            <c:strRef>
              <c:f>'Race by District'!$C$10:$F$10</c:f>
              <c:strCache>
                <c:ptCount val="4"/>
                <c:pt idx="0">
                  <c:v>ISS Percent</c:v>
                </c:pt>
                <c:pt idx="1">
                  <c:v>OSS Percent</c:v>
                </c:pt>
                <c:pt idx="2">
                  <c:v>DAEP Percent</c:v>
                </c:pt>
                <c:pt idx="3">
                  <c:v>JJAEP Percent</c:v>
                </c:pt>
              </c:strCache>
            </c:strRef>
          </c:cat>
          <c:val>
            <c:numRef>
              <c:f>'Race by District'!$C$11:$F$11</c:f>
              <c:numCache>
                <c:formatCode>0.00%</c:formatCode>
                <c:ptCount val="4"/>
                <c:pt idx="0">
                  <c:v>1.0055570256681662E-2</c:v>
                </c:pt>
                <c:pt idx="1">
                  <c:v>6.0862662079915319E-3</c:v>
                </c:pt>
                <c:pt idx="3">
                  <c:v>0</c:v>
                </c:pt>
              </c:numCache>
            </c:numRef>
          </c:val>
          <c:extLst>
            <c:ext xmlns:c16="http://schemas.microsoft.com/office/drawing/2014/chart" uri="{C3380CC4-5D6E-409C-BE32-E72D297353CC}">
              <c16:uniqueId val="{00000000-3803-4CAE-AEC3-75C1464B5E56}"/>
            </c:ext>
          </c:extLst>
        </c:ser>
        <c:ser>
          <c:idx val="1"/>
          <c:order val="1"/>
          <c:tx>
            <c:strRef>
              <c:f>'Race by District'!$B$12</c:f>
              <c:strCache>
                <c:ptCount val="1"/>
                <c:pt idx="0">
                  <c:v>Black or African American</c:v>
                </c:pt>
              </c:strCache>
            </c:strRef>
          </c:tx>
          <c:spPr>
            <a:solidFill>
              <a:schemeClr val="accent1"/>
            </a:solidFill>
          </c:spPr>
          <c:invertIfNegative val="0"/>
          <c:cat>
            <c:strRef>
              <c:f>'Race by District'!$C$10:$F$10</c:f>
              <c:strCache>
                <c:ptCount val="4"/>
                <c:pt idx="0">
                  <c:v>ISS Percent</c:v>
                </c:pt>
                <c:pt idx="1">
                  <c:v>OSS Percent</c:v>
                </c:pt>
                <c:pt idx="2">
                  <c:v>DAEP Percent</c:v>
                </c:pt>
                <c:pt idx="3">
                  <c:v>JJAEP Percent</c:v>
                </c:pt>
              </c:strCache>
            </c:strRef>
          </c:cat>
          <c:val>
            <c:numRef>
              <c:f>'Race by District'!$C$12:$F$12</c:f>
              <c:numCache>
                <c:formatCode>0.00%</c:formatCode>
                <c:ptCount val="4"/>
                <c:pt idx="0">
                  <c:v>8.0324357405140753E-2</c:v>
                </c:pt>
                <c:pt idx="1">
                  <c:v>7.5734394124847004E-2</c:v>
                </c:pt>
                <c:pt idx="2">
                  <c:v>2.2949816401468787E-2</c:v>
                </c:pt>
              </c:numCache>
            </c:numRef>
          </c:val>
          <c:extLst>
            <c:ext xmlns:c16="http://schemas.microsoft.com/office/drawing/2014/chart" uri="{C3380CC4-5D6E-409C-BE32-E72D297353CC}">
              <c16:uniqueId val="{00000001-3803-4CAE-AEC3-75C1464B5E56}"/>
            </c:ext>
          </c:extLst>
        </c:ser>
        <c:ser>
          <c:idx val="2"/>
          <c:order val="2"/>
          <c:tx>
            <c:strRef>
              <c:f>'Race by District'!$B$13</c:f>
              <c:strCache>
                <c:ptCount val="1"/>
                <c:pt idx="0">
                  <c:v>Hispanic/ Latino</c:v>
                </c:pt>
              </c:strCache>
            </c:strRef>
          </c:tx>
          <c:spPr>
            <a:solidFill>
              <a:schemeClr val="accent2"/>
            </a:solidFill>
          </c:spPr>
          <c:invertIfNegative val="0"/>
          <c:cat>
            <c:strRef>
              <c:f>'Race by District'!$C$10:$F$10</c:f>
              <c:strCache>
                <c:ptCount val="4"/>
                <c:pt idx="0">
                  <c:v>ISS Percent</c:v>
                </c:pt>
                <c:pt idx="1">
                  <c:v>OSS Percent</c:v>
                </c:pt>
                <c:pt idx="2">
                  <c:v>DAEP Percent</c:v>
                </c:pt>
                <c:pt idx="3">
                  <c:v>JJAEP Percent</c:v>
                </c:pt>
              </c:strCache>
            </c:strRef>
          </c:cat>
          <c:val>
            <c:numRef>
              <c:f>'Race by District'!$C$13:$F$13</c:f>
              <c:numCache>
                <c:formatCode>0.00%</c:formatCode>
                <c:ptCount val="4"/>
                <c:pt idx="0">
                  <c:v>4.4267853799588107E-2</c:v>
                </c:pt>
                <c:pt idx="1">
                  <c:v>3.6529300409810492E-2</c:v>
                </c:pt>
                <c:pt idx="2">
                  <c:v>1.295999667158994E-2</c:v>
                </c:pt>
                <c:pt idx="3">
                  <c:v>5.2006407189365725E-4</c:v>
                </c:pt>
              </c:numCache>
            </c:numRef>
          </c:val>
          <c:extLst>
            <c:ext xmlns:c16="http://schemas.microsoft.com/office/drawing/2014/chart" uri="{C3380CC4-5D6E-409C-BE32-E72D297353CC}">
              <c16:uniqueId val="{00000002-3803-4CAE-AEC3-75C1464B5E56}"/>
            </c:ext>
          </c:extLst>
        </c:ser>
        <c:ser>
          <c:idx val="3"/>
          <c:order val="3"/>
          <c:tx>
            <c:strRef>
              <c:f>'Race by District'!$B$14</c:f>
              <c:strCache>
                <c:ptCount val="1"/>
                <c:pt idx="0">
                  <c:v>Two or more races</c:v>
                </c:pt>
              </c:strCache>
            </c:strRef>
          </c:tx>
          <c:invertIfNegative val="0"/>
          <c:cat>
            <c:strRef>
              <c:f>'Race by District'!$C$10:$F$10</c:f>
              <c:strCache>
                <c:ptCount val="4"/>
                <c:pt idx="0">
                  <c:v>ISS Percent</c:v>
                </c:pt>
                <c:pt idx="1">
                  <c:v>OSS Percent</c:v>
                </c:pt>
                <c:pt idx="2">
                  <c:v>DAEP Percent</c:v>
                </c:pt>
                <c:pt idx="3">
                  <c:v>JJAEP Percent</c:v>
                </c:pt>
              </c:strCache>
            </c:strRef>
          </c:cat>
          <c:val>
            <c:numRef>
              <c:f>'Race by District'!$C$14:$F$14</c:f>
              <c:numCache>
                <c:formatCode>0.00%</c:formatCode>
                <c:ptCount val="4"/>
                <c:pt idx="0">
                  <c:v>3.2305433186490456E-2</c:v>
                </c:pt>
                <c:pt idx="1">
                  <c:v>2.2393538913362702E-2</c:v>
                </c:pt>
                <c:pt idx="2">
                  <c:v>6.9750367107195305E-3</c:v>
                </c:pt>
              </c:numCache>
            </c:numRef>
          </c:val>
          <c:extLst>
            <c:ext xmlns:c16="http://schemas.microsoft.com/office/drawing/2014/chart" uri="{C3380CC4-5D6E-409C-BE32-E72D297353CC}">
              <c16:uniqueId val="{00000003-3803-4CAE-AEC3-75C1464B5E56}"/>
            </c:ext>
          </c:extLst>
        </c:ser>
        <c:ser>
          <c:idx val="4"/>
          <c:order val="4"/>
          <c:tx>
            <c:strRef>
              <c:f>'Race by District'!$B$15</c:f>
              <c:strCache>
                <c:ptCount val="1"/>
                <c:pt idx="0">
                  <c:v>White</c:v>
                </c:pt>
              </c:strCache>
            </c:strRef>
          </c:tx>
          <c:spPr>
            <a:solidFill>
              <a:schemeClr val="accent3"/>
            </a:solidFill>
          </c:spPr>
          <c:invertIfNegative val="0"/>
          <c:cat>
            <c:strRef>
              <c:f>'Race by District'!$C$10:$F$10</c:f>
              <c:strCache>
                <c:ptCount val="4"/>
                <c:pt idx="0">
                  <c:v>ISS Percent</c:v>
                </c:pt>
                <c:pt idx="1">
                  <c:v>OSS Percent</c:v>
                </c:pt>
                <c:pt idx="2">
                  <c:v>DAEP Percent</c:v>
                </c:pt>
                <c:pt idx="3">
                  <c:v>JJAEP Percent</c:v>
                </c:pt>
              </c:strCache>
            </c:strRef>
          </c:cat>
          <c:val>
            <c:numRef>
              <c:f>'Race by District'!$C$15:$F$15</c:f>
              <c:numCache>
                <c:formatCode>0.00%</c:formatCode>
                <c:ptCount val="4"/>
                <c:pt idx="0">
                  <c:v>2.4380266710300254E-2</c:v>
                </c:pt>
                <c:pt idx="1">
                  <c:v>1.5544465352204859E-2</c:v>
                </c:pt>
                <c:pt idx="2">
                  <c:v>5.2360304344268999E-3</c:v>
                </c:pt>
              </c:numCache>
            </c:numRef>
          </c:val>
          <c:extLst>
            <c:ext xmlns:c16="http://schemas.microsoft.com/office/drawing/2014/chart" uri="{C3380CC4-5D6E-409C-BE32-E72D297353CC}">
              <c16:uniqueId val="{00000004-3803-4CAE-AEC3-75C1464B5E56}"/>
            </c:ext>
          </c:extLst>
        </c:ser>
        <c:ser>
          <c:idx val="5"/>
          <c:order val="5"/>
          <c:tx>
            <c:strRef>
              <c:f>'Race by District'!$B$16</c:f>
              <c:strCache>
                <c:ptCount val="1"/>
                <c:pt idx="0">
                  <c:v>All Students</c:v>
                </c:pt>
              </c:strCache>
            </c:strRef>
          </c:tx>
          <c:spPr>
            <a:solidFill>
              <a:schemeClr val="tx1"/>
            </a:solidFill>
          </c:spPr>
          <c:invertIfNegative val="0"/>
          <c:cat>
            <c:strRef>
              <c:f>'Race by District'!$C$10:$F$10</c:f>
              <c:strCache>
                <c:ptCount val="4"/>
                <c:pt idx="0">
                  <c:v>ISS Percent</c:v>
                </c:pt>
                <c:pt idx="1">
                  <c:v>OSS Percent</c:v>
                </c:pt>
                <c:pt idx="2">
                  <c:v>DAEP Percent</c:v>
                </c:pt>
                <c:pt idx="3">
                  <c:v>JJAEP Percent</c:v>
                </c:pt>
              </c:strCache>
            </c:strRef>
          </c:cat>
          <c:val>
            <c:numRef>
              <c:f>'Race by District'!$C$16:$F$16</c:f>
              <c:numCache>
                <c:formatCode>0.00%</c:formatCode>
                <c:ptCount val="4"/>
                <c:pt idx="0">
                  <c:v>3.9455576030416835E-2</c:v>
                </c:pt>
                <c:pt idx="1">
                  <c:v>3.174640199668774E-2</c:v>
                </c:pt>
                <c:pt idx="2">
                  <c:v>1.0869818758601386E-2</c:v>
                </c:pt>
                <c:pt idx="3">
                  <c:v>3.7321266123953257E-4</c:v>
                </c:pt>
              </c:numCache>
            </c:numRef>
          </c:val>
          <c:extLst>
            <c:ext xmlns:c16="http://schemas.microsoft.com/office/drawing/2014/chart" uri="{C3380CC4-5D6E-409C-BE32-E72D297353CC}">
              <c16:uniqueId val="{00000005-3803-4CAE-AEC3-75C1464B5E56}"/>
            </c:ext>
          </c:extLst>
        </c:ser>
        <c:dLbls>
          <c:showLegendKey val="0"/>
          <c:showVal val="0"/>
          <c:showCatName val="0"/>
          <c:showSerName val="0"/>
          <c:showPercent val="0"/>
          <c:showBubbleSize val="0"/>
        </c:dLbls>
        <c:gapWidth val="150"/>
        <c:axId val="531474448"/>
        <c:axId val="1"/>
      </c:barChart>
      <c:catAx>
        <c:axId val="53147444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0.30000000000000004"/>
        </c:scaling>
        <c:delete val="0"/>
        <c:axPos val="l"/>
        <c:majorGridlines/>
        <c:numFmt formatCode="0.00%" sourceLinked="1"/>
        <c:majorTickMark val="out"/>
        <c:minorTickMark val="none"/>
        <c:tickLblPos val="nextTo"/>
        <c:crossAx val="531474448"/>
        <c:crosses val="autoZero"/>
        <c:crossBetween val="between"/>
      </c:valAx>
    </c:plotArea>
    <c:legend>
      <c:legendPos val="r"/>
      <c:layout>
        <c:manualLayout>
          <c:xMode val="edge"/>
          <c:yMode val="edge"/>
          <c:x val="0.67019716678473584"/>
          <c:y val="0.36318529272528349"/>
          <c:w val="0.31013638643537433"/>
          <c:h val="0.44527511916319007"/>
        </c:manualLayout>
      </c:layout>
      <c:overlay val="0"/>
    </c:legend>
    <c:plotVisOnly val="1"/>
    <c:dispBlanksAs val="gap"/>
    <c:showDLblsOverMax val="0"/>
  </c:chart>
  <c:spPr>
    <a:ln>
      <a:noFill/>
    </a:ln>
  </c:spPr>
  <c:txPr>
    <a:bodyPr/>
    <a:lstStyle/>
    <a:p>
      <a:pPr>
        <a:defRPr sz="1000" b="0">
          <a:latin typeface="Corbel" panose="020B0503020204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6.png"/><Relationship Id="rId3" Type="http://schemas.openxmlformats.org/officeDocument/2006/relationships/chart" Target="../charts/chart3.xml"/><Relationship Id="rId7" Type="http://schemas.openxmlformats.org/officeDocument/2006/relationships/image" Target="../media/image3.png"/><Relationship Id="rId12" Type="http://schemas.openxmlformats.org/officeDocument/2006/relationships/image" Target="../media/image5.png"/><Relationship Id="rId2" Type="http://schemas.openxmlformats.org/officeDocument/2006/relationships/chart" Target="../charts/chart2.xml"/><Relationship Id="rId16" Type="http://schemas.openxmlformats.org/officeDocument/2006/relationships/image" Target="../media/image8.png"/><Relationship Id="rId1" Type="http://schemas.openxmlformats.org/officeDocument/2006/relationships/chart" Target="../charts/chart1.xml"/><Relationship Id="rId6" Type="http://schemas.openxmlformats.org/officeDocument/2006/relationships/image" Target="../media/image2.png"/><Relationship Id="rId11" Type="http://schemas.openxmlformats.org/officeDocument/2006/relationships/chart" Target="../charts/chart7.xml"/><Relationship Id="rId5" Type="http://schemas.openxmlformats.org/officeDocument/2006/relationships/image" Target="../media/image1.png"/><Relationship Id="rId15" Type="http://schemas.openxmlformats.org/officeDocument/2006/relationships/chart" Target="../charts/chart8.xml"/><Relationship Id="rId10" Type="http://schemas.openxmlformats.org/officeDocument/2006/relationships/chart" Target="../charts/chart6.xml"/><Relationship Id="rId4" Type="http://schemas.openxmlformats.org/officeDocument/2006/relationships/chart" Target="../charts/chart4.xml"/><Relationship Id="rId9" Type="http://schemas.openxmlformats.org/officeDocument/2006/relationships/chart" Target="../charts/chart5.xml"/><Relationship Id="rId14" Type="http://schemas.openxmlformats.org/officeDocument/2006/relationships/image" Target="../media/image7.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1.xml.rels><?xml version="1.0" encoding="UTF-8" standalone="yes"?>
<Relationships xmlns="http://schemas.openxmlformats.org/package/2006/relationships"><Relationship Id="rId8" Type="http://schemas.openxmlformats.org/officeDocument/2006/relationships/image" Target="../media/image20.png"/><Relationship Id="rId13" Type="http://schemas.openxmlformats.org/officeDocument/2006/relationships/chart" Target="../charts/chart32.xml"/><Relationship Id="rId3" Type="http://schemas.openxmlformats.org/officeDocument/2006/relationships/chart" Target="../charts/chart28.xml"/><Relationship Id="rId7" Type="http://schemas.openxmlformats.org/officeDocument/2006/relationships/image" Target="../media/image19.png"/><Relationship Id="rId12" Type="http://schemas.openxmlformats.org/officeDocument/2006/relationships/image" Target="../media/image22.png"/><Relationship Id="rId2" Type="http://schemas.openxmlformats.org/officeDocument/2006/relationships/chart" Target="../charts/chart27.xml"/><Relationship Id="rId16" Type="http://schemas.openxmlformats.org/officeDocument/2006/relationships/image" Target="../media/image24.png"/><Relationship Id="rId1" Type="http://schemas.openxmlformats.org/officeDocument/2006/relationships/chart" Target="../charts/chart26.xml"/><Relationship Id="rId6" Type="http://schemas.openxmlformats.org/officeDocument/2006/relationships/image" Target="../media/image18.png"/><Relationship Id="rId11" Type="http://schemas.openxmlformats.org/officeDocument/2006/relationships/chart" Target="../charts/chart31.xml"/><Relationship Id="rId5" Type="http://schemas.openxmlformats.org/officeDocument/2006/relationships/image" Target="../media/image17.png"/><Relationship Id="rId15" Type="http://schemas.openxmlformats.org/officeDocument/2006/relationships/chart" Target="../charts/chart33.xml"/><Relationship Id="rId10" Type="http://schemas.openxmlformats.org/officeDocument/2006/relationships/image" Target="../media/image21.png"/><Relationship Id="rId4" Type="http://schemas.openxmlformats.org/officeDocument/2006/relationships/chart" Target="../charts/chart29.xml"/><Relationship Id="rId9" Type="http://schemas.openxmlformats.org/officeDocument/2006/relationships/chart" Target="../charts/chart30.xml"/><Relationship Id="rId14" Type="http://schemas.openxmlformats.org/officeDocument/2006/relationships/image" Target="../media/image23.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5.png"/><Relationship Id="rId2" Type="http://schemas.openxmlformats.org/officeDocument/2006/relationships/chart" Target="../charts/chart36.xml"/><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13" Type="http://schemas.openxmlformats.org/officeDocument/2006/relationships/chart" Target="../charts/chart17.xml"/><Relationship Id="rId18" Type="http://schemas.openxmlformats.org/officeDocument/2006/relationships/chart" Target="../charts/chart22.xml"/><Relationship Id="rId3" Type="http://schemas.openxmlformats.org/officeDocument/2006/relationships/chart" Target="../charts/chart11.xml"/><Relationship Id="rId21" Type="http://schemas.openxmlformats.org/officeDocument/2006/relationships/image" Target="../media/image15.png"/><Relationship Id="rId7" Type="http://schemas.openxmlformats.org/officeDocument/2006/relationships/chart" Target="../charts/chart15.xml"/><Relationship Id="rId12" Type="http://schemas.openxmlformats.org/officeDocument/2006/relationships/image" Target="../media/image12.png"/><Relationship Id="rId17" Type="http://schemas.openxmlformats.org/officeDocument/2006/relationships/chart" Target="../charts/chart21.xml"/><Relationship Id="rId2" Type="http://schemas.openxmlformats.org/officeDocument/2006/relationships/chart" Target="../charts/chart10.xml"/><Relationship Id="rId16" Type="http://schemas.openxmlformats.org/officeDocument/2006/relationships/chart" Target="../charts/chart20.xml"/><Relationship Id="rId20" Type="http://schemas.openxmlformats.org/officeDocument/2006/relationships/image" Target="../media/image14.png"/><Relationship Id="rId1" Type="http://schemas.openxmlformats.org/officeDocument/2006/relationships/chart" Target="../charts/chart9.xml"/><Relationship Id="rId6" Type="http://schemas.openxmlformats.org/officeDocument/2006/relationships/chart" Target="../charts/chart14.xml"/><Relationship Id="rId11" Type="http://schemas.openxmlformats.org/officeDocument/2006/relationships/image" Target="../media/image11.png"/><Relationship Id="rId24" Type="http://schemas.openxmlformats.org/officeDocument/2006/relationships/image" Target="../media/image16.png"/><Relationship Id="rId5" Type="http://schemas.openxmlformats.org/officeDocument/2006/relationships/chart" Target="../charts/chart13.xml"/><Relationship Id="rId15" Type="http://schemas.openxmlformats.org/officeDocument/2006/relationships/chart" Target="../charts/chart19.xml"/><Relationship Id="rId23" Type="http://schemas.openxmlformats.org/officeDocument/2006/relationships/chart" Target="../charts/chart24.xml"/><Relationship Id="rId10" Type="http://schemas.openxmlformats.org/officeDocument/2006/relationships/image" Target="../media/image10.png"/><Relationship Id="rId19" Type="http://schemas.openxmlformats.org/officeDocument/2006/relationships/image" Target="../media/image13.png"/><Relationship Id="rId4" Type="http://schemas.openxmlformats.org/officeDocument/2006/relationships/chart" Target="../charts/chart12.xml"/><Relationship Id="rId9" Type="http://schemas.openxmlformats.org/officeDocument/2006/relationships/image" Target="../media/image9.png"/><Relationship Id="rId14" Type="http://schemas.openxmlformats.org/officeDocument/2006/relationships/chart" Target="../charts/chart18.xml"/><Relationship Id="rId22"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xdr:from>
      <xdr:col>10</xdr:col>
      <xdr:colOff>571500</xdr:colOff>
      <xdr:row>0</xdr:row>
      <xdr:rowOff>0</xdr:rowOff>
    </xdr:from>
    <xdr:to>
      <xdr:col>18</xdr:col>
      <xdr:colOff>746760</xdr:colOff>
      <xdr:row>18</xdr:row>
      <xdr:rowOff>160020</xdr:rowOff>
    </xdr:to>
    <xdr:graphicFrame macro="">
      <xdr:nvGraphicFramePr>
        <xdr:cNvPr id="8008208" name="Chart 1">
          <a:extLst>
            <a:ext uri="{FF2B5EF4-FFF2-40B4-BE49-F238E27FC236}">
              <a16:creationId xmlns:a16="http://schemas.microsoft.com/office/drawing/2014/main" id="{3BDF672B-32DA-418E-8967-A4B9338DE4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236220</xdr:colOff>
      <xdr:row>18</xdr:row>
      <xdr:rowOff>121920</xdr:rowOff>
    </xdr:from>
    <xdr:to>
      <xdr:col>18</xdr:col>
      <xdr:colOff>434340</xdr:colOff>
      <xdr:row>35</xdr:row>
      <xdr:rowOff>106680</xdr:rowOff>
    </xdr:to>
    <xdr:graphicFrame macro="">
      <xdr:nvGraphicFramePr>
        <xdr:cNvPr id="8008209" name="Chart 1">
          <a:extLst>
            <a:ext uri="{FF2B5EF4-FFF2-40B4-BE49-F238E27FC236}">
              <a16:creationId xmlns:a16="http://schemas.microsoft.com/office/drawing/2014/main" id="{666EC3C7-2300-4FC1-88EE-B067D71B85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251460</xdr:colOff>
      <xdr:row>107</xdr:row>
      <xdr:rowOff>121920</xdr:rowOff>
    </xdr:from>
    <xdr:to>
      <xdr:col>18</xdr:col>
      <xdr:colOff>441960</xdr:colOff>
      <xdr:row>124</xdr:row>
      <xdr:rowOff>114300</xdr:rowOff>
    </xdr:to>
    <xdr:graphicFrame macro="">
      <xdr:nvGraphicFramePr>
        <xdr:cNvPr id="8008210" name="Chart 1">
          <a:extLst>
            <a:ext uri="{FF2B5EF4-FFF2-40B4-BE49-F238E27FC236}">
              <a16:creationId xmlns:a16="http://schemas.microsoft.com/office/drawing/2014/main" id="{9EAB20CD-2E46-4E8F-9703-2C39392FC4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358140</xdr:colOff>
      <xdr:row>124</xdr:row>
      <xdr:rowOff>152400</xdr:rowOff>
    </xdr:from>
    <xdr:to>
      <xdr:col>17</xdr:col>
      <xdr:colOff>899160</xdr:colOff>
      <xdr:row>141</xdr:row>
      <xdr:rowOff>137160</xdr:rowOff>
    </xdr:to>
    <xdr:graphicFrame macro="">
      <xdr:nvGraphicFramePr>
        <xdr:cNvPr id="8008211" name="Chart 1">
          <a:extLst>
            <a:ext uri="{FF2B5EF4-FFF2-40B4-BE49-F238E27FC236}">
              <a16:creationId xmlns:a16="http://schemas.microsoft.com/office/drawing/2014/main" id="{ADD6DE67-C523-404E-BDAA-A45313DE1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25</xdr:col>
      <xdr:colOff>0</xdr:colOff>
      <xdr:row>5</xdr:row>
      <xdr:rowOff>0</xdr:rowOff>
    </xdr:from>
    <xdr:to>
      <xdr:col>32</xdr:col>
      <xdr:colOff>114300</xdr:colOff>
      <xdr:row>22</xdr:row>
      <xdr:rowOff>0</xdr:rowOff>
    </xdr:to>
    <xdr:pic>
      <xdr:nvPicPr>
        <xdr:cNvPr id="8008212" name="Picture 5">
          <a:extLst>
            <a:ext uri="{FF2B5EF4-FFF2-40B4-BE49-F238E27FC236}">
              <a16:creationId xmlns:a16="http://schemas.microsoft.com/office/drawing/2014/main" id="{70408185-E23C-4EE2-93CB-99E4395F9BC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202400" y="838200"/>
          <a:ext cx="5410200" cy="2849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1104900</xdr:colOff>
      <xdr:row>21</xdr:row>
      <xdr:rowOff>160020</xdr:rowOff>
    </xdr:from>
    <xdr:to>
      <xdr:col>28</xdr:col>
      <xdr:colOff>121920</xdr:colOff>
      <xdr:row>38</xdr:row>
      <xdr:rowOff>160020</xdr:rowOff>
    </xdr:to>
    <xdr:pic>
      <xdr:nvPicPr>
        <xdr:cNvPr id="8008213" name="Picture 7">
          <a:extLst>
            <a:ext uri="{FF2B5EF4-FFF2-40B4-BE49-F238E27FC236}">
              <a16:creationId xmlns:a16="http://schemas.microsoft.com/office/drawing/2014/main" id="{0673CAD1-EC05-4EEF-A98D-81F06BAC95D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727680" y="3680460"/>
          <a:ext cx="5425440" cy="2849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944880</xdr:colOff>
      <xdr:row>111</xdr:row>
      <xdr:rowOff>99060</xdr:rowOff>
    </xdr:from>
    <xdr:to>
      <xdr:col>27</xdr:col>
      <xdr:colOff>571500</xdr:colOff>
      <xdr:row>128</xdr:row>
      <xdr:rowOff>99060</xdr:rowOff>
    </xdr:to>
    <xdr:pic>
      <xdr:nvPicPr>
        <xdr:cNvPr id="8008214" name="Picture 8">
          <a:extLst>
            <a:ext uri="{FF2B5EF4-FFF2-40B4-BE49-F238E27FC236}">
              <a16:creationId xmlns:a16="http://schemas.microsoft.com/office/drawing/2014/main" id="{01D0F9D7-B0D3-4B7C-B930-69DF12DB6C2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567660" y="18707100"/>
          <a:ext cx="5425440" cy="2849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868680</xdr:colOff>
      <xdr:row>127</xdr:row>
      <xdr:rowOff>22860</xdr:rowOff>
    </xdr:from>
    <xdr:to>
      <xdr:col>27</xdr:col>
      <xdr:colOff>495300</xdr:colOff>
      <xdr:row>144</xdr:row>
      <xdr:rowOff>22860</xdr:rowOff>
    </xdr:to>
    <xdr:pic>
      <xdr:nvPicPr>
        <xdr:cNvPr id="8008215" name="Picture 11">
          <a:extLst>
            <a:ext uri="{FF2B5EF4-FFF2-40B4-BE49-F238E27FC236}">
              <a16:creationId xmlns:a16="http://schemas.microsoft.com/office/drawing/2014/main" id="{A08DB668-5019-44B8-80A3-7037CA813E16}"/>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5491460" y="21313140"/>
          <a:ext cx="5425440" cy="2849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30480</xdr:colOff>
      <xdr:row>39</xdr:row>
      <xdr:rowOff>45720</xdr:rowOff>
    </xdr:from>
    <xdr:to>
      <xdr:col>18</xdr:col>
      <xdr:colOff>228600</xdr:colOff>
      <xdr:row>56</xdr:row>
      <xdr:rowOff>38100</xdr:rowOff>
    </xdr:to>
    <xdr:graphicFrame macro="">
      <xdr:nvGraphicFramePr>
        <xdr:cNvPr id="8008216" name="Chart 1">
          <a:extLst>
            <a:ext uri="{FF2B5EF4-FFF2-40B4-BE49-F238E27FC236}">
              <a16:creationId xmlns:a16="http://schemas.microsoft.com/office/drawing/2014/main" id="{CB42E2C5-D227-46A7-B9C0-5997B65E1A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68580</xdr:colOff>
      <xdr:row>57</xdr:row>
      <xdr:rowOff>0</xdr:rowOff>
    </xdr:from>
    <xdr:to>
      <xdr:col>18</xdr:col>
      <xdr:colOff>266700</xdr:colOff>
      <xdr:row>73</xdr:row>
      <xdr:rowOff>160020</xdr:rowOff>
    </xdr:to>
    <xdr:graphicFrame macro="">
      <xdr:nvGraphicFramePr>
        <xdr:cNvPr id="8008217" name="Chart 1">
          <a:extLst>
            <a:ext uri="{FF2B5EF4-FFF2-40B4-BE49-F238E27FC236}">
              <a16:creationId xmlns:a16="http://schemas.microsoft.com/office/drawing/2014/main" id="{2ECAE3BC-A5E6-4411-A4FD-DEB9322183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106680</xdr:colOff>
      <xdr:row>85</xdr:row>
      <xdr:rowOff>160020</xdr:rowOff>
    </xdr:from>
    <xdr:to>
      <xdr:col>18</xdr:col>
      <xdr:colOff>304800</xdr:colOff>
      <xdr:row>102</xdr:row>
      <xdr:rowOff>144780</xdr:rowOff>
    </xdr:to>
    <xdr:graphicFrame macro="">
      <xdr:nvGraphicFramePr>
        <xdr:cNvPr id="8008218" name="Chart 1">
          <a:extLst>
            <a:ext uri="{FF2B5EF4-FFF2-40B4-BE49-F238E27FC236}">
              <a16:creationId xmlns:a16="http://schemas.microsoft.com/office/drawing/2014/main" id="{C2262EAD-DCCE-4F5F-8AD6-020733922E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20</xdr:col>
      <xdr:colOff>38100</xdr:colOff>
      <xdr:row>91</xdr:row>
      <xdr:rowOff>76200</xdr:rowOff>
    </xdr:from>
    <xdr:to>
      <xdr:col>28</xdr:col>
      <xdr:colOff>320040</xdr:colOff>
      <xdr:row>108</xdr:row>
      <xdr:rowOff>60960</xdr:rowOff>
    </xdr:to>
    <xdr:pic>
      <xdr:nvPicPr>
        <xdr:cNvPr id="8008219" name="Picture 2">
          <a:extLst>
            <a:ext uri="{FF2B5EF4-FFF2-40B4-BE49-F238E27FC236}">
              <a16:creationId xmlns:a16="http://schemas.microsoft.com/office/drawing/2014/main" id="{64A1F8AB-4DE1-4278-9AB7-FAD0258D2ABF}"/>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941040" y="15331440"/>
          <a:ext cx="5410200" cy="2834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975360</xdr:colOff>
      <xdr:row>57</xdr:row>
      <xdr:rowOff>22860</xdr:rowOff>
    </xdr:from>
    <xdr:to>
      <xdr:col>27</xdr:col>
      <xdr:colOff>594360</xdr:colOff>
      <xdr:row>74</xdr:row>
      <xdr:rowOff>7620</xdr:rowOff>
    </xdr:to>
    <xdr:pic>
      <xdr:nvPicPr>
        <xdr:cNvPr id="8008220" name="Picture 3">
          <a:extLst>
            <a:ext uri="{FF2B5EF4-FFF2-40B4-BE49-F238E27FC236}">
              <a16:creationId xmlns:a16="http://schemas.microsoft.com/office/drawing/2014/main" id="{3EC72982-403B-4A3A-82E3-F119CAF60C1B}"/>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5598140" y="9578340"/>
          <a:ext cx="5417820" cy="2834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22860</xdr:colOff>
      <xdr:row>40</xdr:row>
      <xdr:rowOff>121920</xdr:rowOff>
    </xdr:from>
    <xdr:to>
      <xdr:col>28</xdr:col>
      <xdr:colOff>304800</xdr:colOff>
      <xdr:row>57</xdr:row>
      <xdr:rowOff>106680</xdr:rowOff>
    </xdr:to>
    <xdr:pic>
      <xdr:nvPicPr>
        <xdr:cNvPr id="8008221" name="Picture 4">
          <a:extLst>
            <a:ext uri="{FF2B5EF4-FFF2-40B4-BE49-F238E27FC236}">
              <a16:creationId xmlns:a16="http://schemas.microsoft.com/office/drawing/2014/main" id="{D7CB32DE-22E6-48BD-BEBD-FD0F31F3F666}"/>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5925800" y="6827520"/>
          <a:ext cx="5410200" cy="2834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403860</xdr:colOff>
      <xdr:row>74</xdr:row>
      <xdr:rowOff>7620</xdr:rowOff>
    </xdr:from>
    <xdr:to>
      <xdr:col>17</xdr:col>
      <xdr:colOff>929640</xdr:colOff>
      <xdr:row>91</xdr:row>
      <xdr:rowOff>0</xdr:rowOff>
    </xdr:to>
    <xdr:graphicFrame macro="">
      <xdr:nvGraphicFramePr>
        <xdr:cNvPr id="8008222" name="Chart 1">
          <a:extLst>
            <a:ext uri="{FF2B5EF4-FFF2-40B4-BE49-F238E27FC236}">
              <a16:creationId xmlns:a16="http://schemas.microsoft.com/office/drawing/2014/main" id="{F320CC4A-7D99-4484-B3D4-057728688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20</xdr:col>
      <xdr:colOff>236220</xdr:colOff>
      <xdr:row>72</xdr:row>
      <xdr:rowOff>76200</xdr:rowOff>
    </xdr:from>
    <xdr:to>
      <xdr:col>28</xdr:col>
      <xdr:colOff>518160</xdr:colOff>
      <xdr:row>89</xdr:row>
      <xdr:rowOff>68580</xdr:rowOff>
    </xdr:to>
    <xdr:pic>
      <xdr:nvPicPr>
        <xdr:cNvPr id="8008223" name="Picture 1">
          <a:extLst>
            <a:ext uri="{FF2B5EF4-FFF2-40B4-BE49-F238E27FC236}">
              <a16:creationId xmlns:a16="http://schemas.microsoft.com/office/drawing/2014/main" id="{6C628651-684E-4EFD-A3C8-CD0DA6F4FE7F}"/>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6139160" y="12146280"/>
          <a:ext cx="5410200" cy="284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236220</xdr:colOff>
      <xdr:row>3</xdr:row>
      <xdr:rowOff>0</xdr:rowOff>
    </xdr:from>
    <xdr:to>
      <xdr:col>16</xdr:col>
      <xdr:colOff>708660</xdr:colOff>
      <xdr:row>14</xdr:row>
      <xdr:rowOff>0</xdr:rowOff>
    </xdr:to>
    <xdr:graphicFrame macro="">
      <xdr:nvGraphicFramePr>
        <xdr:cNvPr id="4144378" name="Chart 3">
          <a:extLst>
            <a:ext uri="{FF2B5EF4-FFF2-40B4-BE49-F238E27FC236}">
              <a16:creationId xmlns:a16="http://schemas.microsoft.com/office/drawing/2014/main" id="{845EC707-7ABB-499A-9310-B9A4FD7F04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220980</xdr:colOff>
      <xdr:row>1</xdr:row>
      <xdr:rowOff>106680</xdr:rowOff>
    </xdr:from>
    <xdr:to>
      <xdr:col>12</xdr:col>
      <xdr:colOff>297180</xdr:colOff>
      <xdr:row>15</xdr:row>
      <xdr:rowOff>7620</xdr:rowOff>
    </xdr:to>
    <xdr:graphicFrame macro="">
      <xdr:nvGraphicFramePr>
        <xdr:cNvPr id="8728787" name="Chart 7">
          <a:extLst>
            <a:ext uri="{FF2B5EF4-FFF2-40B4-BE49-F238E27FC236}">
              <a16:creationId xmlns:a16="http://schemas.microsoft.com/office/drawing/2014/main" id="{BC50CDE8-A3F5-49E8-921A-92F6DD57EE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373380</xdr:colOff>
      <xdr:row>21</xdr:row>
      <xdr:rowOff>121920</xdr:rowOff>
    </xdr:from>
    <xdr:to>
      <xdr:col>13</xdr:col>
      <xdr:colOff>449580</xdr:colOff>
      <xdr:row>35</xdr:row>
      <xdr:rowOff>22860</xdr:rowOff>
    </xdr:to>
    <xdr:graphicFrame macro="">
      <xdr:nvGraphicFramePr>
        <xdr:cNvPr id="8728788" name="Chart 7">
          <a:extLst>
            <a:ext uri="{FF2B5EF4-FFF2-40B4-BE49-F238E27FC236}">
              <a16:creationId xmlns:a16="http://schemas.microsoft.com/office/drawing/2014/main" id="{2BF36C3A-971E-4EC1-BD6E-4C6E347A0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38100</xdr:colOff>
      <xdr:row>90</xdr:row>
      <xdr:rowOff>0</xdr:rowOff>
    </xdr:from>
    <xdr:to>
      <xdr:col>14</xdr:col>
      <xdr:colOff>114300</xdr:colOff>
      <xdr:row>103</xdr:row>
      <xdr:rowOff>68580</xdr:rowOff>
    </xdr:to>
    <xdr:graphicFrame macro="">
      <xdr:nvGraphicFramePr>
        <xdr:cNvPr id="8728789" name="Chart 7">
          <a:extLst>
            <a:ext uri="{FF2B5EF4-FFF2-40B4-BE49-F238E27FC236}">
              <a16:creationId xmlns:a16="http://schemas.microsoft.com/office/drawing/2014/main" id="{B27528A5-B1EC-4C83-BB95-6F4A53E43F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30480</xdr:colOff>
      <xdr:row>106</xdr:row>
      <xdr:rowOff>22860</xdr:rowOff>
    </xdr:from>
    <xdr:to>
      <xdr:col>14</xdr:col>
      <xdr:colOff>106680</xdr:colOff>
      <xdr:row>119</xdr:row>
      <xdr:rowOff>91440</xdr:rowOff>
    </xdr:to>
    <xdr:graphicFrame macro="">
      <xdr:nvGraphicFramePr>
        <xdr:cNvPr id="8728790" name="Chart 7">
          <a:extLst>
            <a:ext uri="{FF2B5EF4-FFF2-40B4-BE49-F238E27FC236}">
              <a16:creationId xmlns:a16="http://schemas.microsoft.com/office/drawing/2014/main" id="{C0E174A6-21F4-4337-9C7D-F95F7B029C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13</xdr:col>
      <xdr:colOff>281940</xdr:colOff>
      <xdr:row>1</xdr:row>
      <xdr:rowOff>121920</xdr:rowOff>
    </xdr:from>
    <xdr:to>
      <xdr:col>18</xdr:col>
      <xdr:colOff>259080</xdr:colOff>
      <xdr:row>15</xdr:row>
      <xdr:rowOff>22860</xdr:rowOff>
    </xdr:to>
    <xdr:pic>
      <xdr:nvPicPr>
        <xdr:cNvPr id="8728791" name="Picture 3">
          <a:extLst>
            <a:ext uri="{FF2B5EF4-FFF2-40B4-BE49-F238E27FC236}">
              <a16:creationId xmlns:a16="http://schemas.microsoft.com/office/drawing/2014/main" id="{69554733-0512-4E38-B9E7-DF394BC5B21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271760" y="289560"/>
          <a:ext cx="371856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449580</xdr:colOff>
      <xdr:row>22</xdr:row>
      <xdr:rowOff>0</xdr:rowOff>
    </xdr:from>
    <xdr:to>
      <xdr:col>18</xdr:col>
      <xdr:colOff>1051560</xdr:colOff>
      <xdr:row>35</xdr:row>
      <xdr:rowOff>68580</xdr:rowOff>
    </xdr:to>
    <xdr:pic>
      <xdr:nvPicPr>
        <xdr:cNvPr id="8728792" name="Picture 8">
          <a:extLst>
            <a:ext uri="{FF2B5EF4-FFF2-40B4-BE49-F238E27FC236}">
              <a16:creationId xmlns:a16="http://schemas.microsoft.com/office/drawing/2014/main" id="{24C50C69-B445-489C-8AB0-BFD41388CF8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49000" y="2849880"/>
          <a:ext cx="3733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304800</xdr:colOff>
      <xdr:row>90</xdr:row>
      <xdr:rowOff>38100</xdr:rowOff>
    </xdr:from>
    <xdr:to>
      <xdr:col>19</xdr:col>
      <xdr:colOff>236220</xdr:colOff>
      <xdr:row>103</xdr:row>
      <xdr:rowOff>106680</xdr:rowOff>
    </xdr:to>
    <xdr:pic>
      <xdr:nvPicPr>
        <xdr:cNvPr id="8728793" name="Picture 9">
          <a:extLst>
            <a:ext uri="{FF2B5EF4-FFF2-40B4-BE49-F238E27FC236}">
              <a16:creationId xmlns:a16="http://schemas.microsoft.com/office/drawing/2014/main" id="{B4C1A720-1011-4368-A194-46C5BAD9652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513820" y="14287500"/>
          <a:ext cx="3733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160020</xdr:colOff>
      <xdr:row>105</xdr:row>
      <xdr:rowOff>144780</xdr:rowOff>
    </xdr:from>
    <xdr:to>
      <xdr:col>19</xdr:col>
      <xdr:colOff>91440</xdr:colOff>
      <xdr:row>119</xdr:row>
      <xdr:rowOff>45720</xdr:rowOff>
    </xdr:to>
    <xdr:pic>
      <xdr:nvPicPr>
        <xdr:cNvPr id="8728794" name="Picture 11">
          <a:extLst>
            <a:ext uri="{FF2B5EF4-FFF2-40B4-BE49-F238E27FC236}">
              <a16:creationId xmlns:a16="http://schemas.microsoft.com/office/drawing/2014/main" id="{74668E51-06D3-44A3-BEB9-5367FEA3E1A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369040" y="16908780"/>
          <a:ext cx="37338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266700</xdr:colOff>
      <xdr:row>29</xdr:row>
      <xdr:rowOff>38100</xdr:rowOff>
    </xdr:from>
    <xdr:to>
      <xdr:col>13</xdr:col>
      <xdr:colOff>342900</xdr:colOff>
      <xdr:row>42</xdr:row>
      <xdr:rowOff>106680</xdr:rowOff>
    </xdr:to>
    <xdr:graphicFrame macro="">
      <xdr:nvGraphicFramePr>
        <xdr:cNvPr id="8728795" name="Chart 7">
          <a:extLst>
            <a:ext uri="{FF2B5EF4-FFF2-40B4-BE49-F238E27FC236}">
              <a16:creationId xmlns:a16="http://schemas.microsoft.com/office/drawing/2014/main" id="{B514FB02-A767-4476-9838-67A94ABF3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14</xdr:col>
      <xdr:colOff>556260</xdr:colOff>
      <xdr:row>33</xdr:row>
      <xdr:rowOff>68580</xdr:rowOff>
    </xdr:from>
    <xdr:to>
      <xdr:col>18</xdr:col>
      <xdr:colOff>1143000</xdr:colOff>
      <xdr:row>46</xdr:row>
      <xdr:rowOff>137160</xdr:rowOff>
    </xdr:to>
    <xdr:pic>
      <xdr:nvPicPr>
        <xdr:cNvPr id="8728796" name="Picture 1">
          <a:extLst>
            <a:ext uri="{FF2B5EF4-FFF2-40B4-BE49-F238E27FC236}">
              <a16:creationId xmlns:a16="http://schemas.microsoft.com/office/drawing/2014/main" id="{274B3683-2842-4CF7-B3A7-449DF38574B9}"/>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1155680" y="4762500"/>
          <a:ext cx="371856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213360</xdr:colOff>
      <xdr:row>45</xdr:row>
      <xdr:rowOff>137160</xdr:rowOff>
    </xdr:from>
    <xdr:to>
      <xdr:col>13</xdr:col>
      <xdr:colOff>297180</xdr:colOff>
      <xdr:row>59</xdr:row>
      <xdr:rowOff>38100</xdr:rowOff>
    </xdr:to>
    <xdr:graphicFrame macro="">
      <xdr:nvGraphicFramePr>
        <xdr:cNvPr id="8728797" name="Chart 7">
          <a:extLst>
            <a:ext uri="{FF2B5EF4-FFF2-40B4-BE49-F238E27FC236}">
              <a16:creationId xmlns:a16="http://schemas.microsoft.com/office/drawing/2014/main" id="{4FCA222F-1227-47B2-93A8-453DDB1123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14</xdr:col>
      <xdr:colOff>556260</xdr:colOff>
      <xdr:row>47</xdr:row>
      <xdr:rowOff>0</xdr:rowOff>
    </xdr:from>
    <xdr:to>
      <xdr:col>18</xdr:col>
      <xdr:colOff>1143000</xdr:colOff>
      <xdr:row>60</xdr:row>
      <xdr:rowOff>68580</xdr:rowOff>
    </xdr:to>
    <xdr:pic>
      <xdr:nvPicPr>
        <xdr:cNvPr id="8728798" name="Picture 2">
          <a:extLst>
            <a:ext uri="{FF2B5EF4-FFF2-40B4-BE49-F238E27FC236}">
              <a16:creationId xmlns:a16="http://schemas.microsoft.com/office/drawing/2014/main" id="{7E2E0377-A243-4697-A00D-73D95362C83D}"/>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1155680" y="7040880"/>
          <a:ext cx="371856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60960</xdr:colOff>
      <xdr:row>74</xdr:row>
      <xdr:rowOff>45720</xdr:rowOff>
    </xdr:from>
    <xdr:to>
      <xdr:col>14</xdr:col>
      <xdr:colOff>137160</xdr:colOff>
      <xdr:row>87</xdr:row>
      <xdr:rowOff>121920</xdr:rowOff>
    </xdr:to>
    <xdr:graphicFrame macro="">
      <xdr:nvGraphicFramePr>
        <xdr:cNvPr id="8728799" name="Chart 7">
          <a:extLst>
            <a:ext uri="{FF2B5EF4-FFF2-40B4-BE49-F238E27FC236}">
              <a16:creationId xmlns:a16="http://schemas.microsoft.com/office/drawing/2014/main" id="{A3C9F5EA-87D3-40FC-A461-A6C44668C0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15</xdr:col>
      <xdr:colOff>38100</xdr:colOff>
      <xdr:row>74</xdr:row>
      <xdr:rowOff>30480</xdr:rowOff>
    </xdr:from>
    <xdr:to>
      <xdr:col>18</xdr:col>
      <xdr:colOff>1242060</xdr:colOff>
      <xdr:row>87</xdr:row>
      <xdr:rowOff>99060</xdr:rowOff>
    </xdr:to>
    <xdr:pic>
      <xdr:nvPicPr>
        <xdr:cNvPr id="8728800" name="Picture 3">
          <a:extLst>
            <a:ext uri="{FF2B5EF4-FFF2-40B4-BE49-F238E27FC236}">
              <a16:creationId xmlns:a16="http://schemas.microsoft.com/office/drawing/2014/main" id="{80322CC1-86DC-438D-9FEF-5FB300CD8292}"/>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1247120" y="11597640"/>
          <a:ext cx="372618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175260</xdr:colOff>
      <xdr:row>59</xdr:row>
      <xdr:rowOff>144780</xdr:rowOff>
    </xdr:from>
    <xdr:to>
      <xdr:col>13</xdr:col>
      <xdr:colOff>251460</xdr:colOff>
      <xdr:row>73</xdr:row>
      <xdr:rowOff>45720</xdr:rowOff>
    </xdr:to>
    <xdr:graphicFrame macro="">
      <xdr:nvGraphicFramePr>
        <xdr:cNvPr id="8728801" name="Chart 7">
          <a:extLst>
            <a:ext uri="{FF2B5EF4-FFF2-40B4-BE49-F238E27FC236}">
              <a16:creationId xmlns:a16="http://schemas.microsoft.com/office/drawing/2014/main" id="{B3B1AA75-44B7-4964-A63E-22FB8B8A28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15</xdr:col>
      <xdr:colOff>99060</xdr:colOff>
      <xdr:row>61</xdr:row>
      <xdr:rowOff>45720</xdr:rowOff>
    </xdr:from>
    <xdr:to>
      <xdr:col>19</xdr:col>
      <xdr:colOff>22860</xdr:colOff>
      <xdr:row>74</xdr:row>
      <xdr:rowOff>121920</xdr:rowOff>
    </xdr:to>
    <xdr:pic>
      <xdr:nvPicPr>
        <xdr:cNvPr id="8728802" name="Picture 1">
          <a:extLst>
            <a:ext uri="{FF2B5EF4-FFF2-40B4-BE49-F238E27FC236}">
              <a16:creationId xmlns:a16="http://schemas.microsoft.com/office/drawing/2014/main" id="{B002514A-0BA7-4276-8158-CA953FC715A2}"/>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1308080" y="9433560"/>
          <a:ext cx="3726180" cy="2255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99060</xdr:colOff>
      <xdr:row>0</xdr:row>
      <xdr:rowOff>0</xdr:rowOff>
    </xdr:from>
    <xdr:to>
      <xdr:col>18</xdr:col>
      <xdr:colOff>182880</xdr:colOff>
      <xdr:row>14</xdr:row>
      <xdr:rowOff>121920</xdr:rowOff>
    </xdr:to>
    <xdr:graphicFrame macro="">
      <xdr:nvGraphicFramePr>
        <xdr:cNvPr id="4572383" name="Chart 8">
          <a:extLst>
            <a:ext uri="{FF2B5EF4-FFF2-40B4-BE49-F238E27FC236}">
              <a16:creationId xmlns:a16="http://schemas.microsoft.com/office/drawing/2014/main" id="{3181E970-F5A7-450B-88DB-593F61118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1028700</xdr:colOff>
      <xdr:row>20</xdr:row>
      <xdr:rowOff>91440</xdr:rowOff>
    </xdr:from>
    <xdr:to>
      <xdr:col>11</xdr:col>
      <xdr:colOff>167640</xdr:colOff>
      <xdr:row>47</xdr:row>
      <xdr:rowOff>60960</xdr:rowOff>
    </xdr:to>
    <xdr:graphicFrame macro="">
      <xdr:nvGraphicFramePr>
        <xdr:cNvPr id="4890110" name="Content Placeholder 4">
          <a:extLst>
            <a:ext uri="{FF2B5EF4-FFF2-40B4-BE49-F238E27FC236}">
              <a16:creationId xmlns:a16="http://schemas.microsoft.com/office/drawing/2014/main" id="{4EB83BC0-8657-482C-9E2D-BB961E90459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21</xdr:row>
      <xdr:rowOff>0</xdr:rowOff>
    </xdr:from>
    <xdr:to>
      <xdr:col>22</xdr:col>
      <xdr:colOff>541020</xdr:colOff>
      <xdr:row>47</xdr:row>
      <xdr:rowOff>137160</xdr:rowOff>
    </xdr:to>
    <xdr:graphicFrame macro="">
      <xdr:nvGraphicFramePr>
        <xdr:cNvPr id="4890111" name="Content Placeholder 4">
          <a:extLst>
            <a:ext uri="{FF2B5EF4-FFF2-40B4-BE49-F238E27FC236}">
              <a16:creationId xmlns:a16="http://schemas.microsoft.com/office/drawing/2014/main" id="{9DA82482-C571-4310-9FE1-83D1D1ABBC3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640080</xdr:colOff>
      <xdr:row>50</xdr:row>
      <xdr:rowOff>91440</xdr:rowOff>
    </xdr:from>
    <xdr:to>
      <xdr:col>10</xdr:col>
      <xdr:colOff>632460</xdr:colOff>
      <xdr:row>77</xdr:row>
      <xdr:rowOff>60960</xdr:rowOff>
    </xdr:to>
    <xdr:pic>
      <xdr:nvPicPr>
        <xdr:cNvPr id="4890112" name="Picture 1">
          <a:extLst>
            <a:ext uri="{FF2B5EF4-FFF2-40B4-BE49-F238E27FC236}">
              <a16:creationId xmlns:a16="http://schemas.microsoft.com/office/drawing/2014/main" id="{2477BAE8-E087-421E-A740-56792C314D9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 y="8572500"/>
          <a:ext cx="9144000" cy="449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175260</xdr:colOff>
      <xdr:row>20</xdr:row>
      <xdr:rowOff>91440</xdr:rowOff>
    </xdr:from>
    <xdr:to>
      <xdr:col>7</xdr:col>
      <xdr:colOff>0</xdr:colOff>
      <xdr:row>38</xdr:row>
      <xdr:rowOff>137160</xdr:rowOff>
    </xdr:to>
    <xdr:graphicFrame macro="">
      <xdr:nvGraphicFramePr>
        <xdr:cNvPr id="7984108" name="Chart 1">
          <a:extLst>
            <a:ext uri="{FF2B5EF4-FFF2-40B4-BE49-F238E27FC236}">
              <a16:creationId xmlns:a16="http://schemas.microsoft.com/office/drawing/2014/main" id="{8754AC4A-B82E-4DC6-9D3B-48A554813D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45720</xdr:colOff>
      <xdr:row>20</xdr:row>
      <xdr:rowOff>45720</xdr:rowOff>
    </xdr:from>
    <xdr:to>
      <xdr:col>13</xdr:col>
      <xdr:colOff>739140</xdr:colOff>
      <xdr:row>38</xdr:row>
      <xdr:rowOff>99060</xdr:rowOff>
    </xdr:to>
    <xdr:graphicFrame macro="">
      <xdr:nvGraphicFramePr>
        <xdr:cNvPr id="7984109" name="Chart 4">
          <a:extLst>
            <a:ext uri="{FF2B5EF4-FFF2-40B4-BE49-F238E27FC236}">
              <a16:creationId xmlns:a16="http://schemas.microsoft.com/office/drawing/2014/main" id="{C97DB39B-FABF-4115-9275-47659EACAD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47</xdr:col>
      <xdr:colOff>0</xdr:colOff>
      <xdr:row>20</xdr:row>
      <xdr:rowOff>22860</xdr:rowOff>
    </xdr:from>
    <xdr:to>
      <xdr:col>52</xdr:col>
      <xdr:colOff>693420</xdr:colOff>
      <xdr:row>38</xdr:row>
      <xdr:rowOff>68580</xdr:rowOff>
    </xdr:to>
    <xdr:graphicFrame macro="">
      <xdr:nvGraphicFramePr>
        <xdr:cNvPr id="7984110" name="Chart 5">
          <a:extLst>
            <a:ext uri="{FF2B5EF4-FFF2-40B4-BE49-F238E27FC236}">
              <a16:creationId xmlns:a16="http://schemas.microsoft.com/office/drawing/2014/main" id="{E586D66F-8C75-4330-A4F0-C8A7D00CA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54</xdr:col>
      <xdr:colOff>0</xdr:colOff>
      <xdr:row>20</xdr:row>
      <xdr:rowOff>0</xdr:rowOff>
    </xdr:from>
    <xdr:to>
      <xdr:col>59</xdr:col>
      <xdr:colOff>693420</xdr:colOff>
      <xdr:row>38</xdr:row>
      <xdr:rowOff>45720</xdr:rowOff>
    </xdr:to>
    <xdr:graphicFrame macro="">
      <xdr:nvGraphicFramePr>
        <xdr:cNvPr id="7984111" name="Chart 6">
          <a:extLst>
            <a:ext uri="{FF2B5EF4-FFF2-40B4-BE49-F238E27FC236}">
              <a16:creationId xmlns:a16="http://schemas.microsoft.com/office/drawing/2014/main" id="{7DCDA641-2605-4D7C-AFF1-59E3C113A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205154</xdr:colOff>
      <xdr:row>95</xdr:row>
      <xdr:rowOff>143608</xdr:rowOff>
    </xdr:from>
    <xdr:to>
      <xdr:col>13</xdr:col>
      <xdr:colOff>548054</xdr:colOff>
      <xdr:row>112</xdr:row>
      <xdr:rowOff>135988</xdr:rowOff>
    </xdr:to>
    <xdr:graphicFrame macro="">
      <xdr:nvGraphicFramePr>
        <xdr:cNvPr id="7984113" name="Chart 9">
          <a:extLst>
            <a:ext uri="{FF2B5EF4-FFF2-40B4-BE49-F238E27FC236}">
              <a16:creationId xmlns:a16="http://schemas.microsoft.com/office/drawing/2014/main" id="{09719A28-A399-4B39-9786-7830CEB33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47</xdr:col>
      <xdr:colOff>7620</xdr:colOff>
      <xdr:row>95</xdr:row>
      <xdr:rowOff>7620</xdr:rowOff>
    </xdr:from>
    <xdr:to>
      <xdr:col>52</xdr:col>
      <xdr:colOff>350520</xdr:colOff>
      <xdr:row>112</xdr:row>
      <xdr:rowOff>0</xdr:rowOff>
    </xdr:to>
    <xdr:graphicFrame macro="">
      <xdr:nvGraphicFramePr>
        <xdr:cNvPr id="7984114" name="Chart 10">
          <a:extLst>
            <a:ext uri="{FF2B5EF4-FFF2-40B4-BE49-F238E27FC236}">
              <a16:creationId xmlns:a16="http://schemas.microsoft.com/office/drawing/2014/main" id="{5EAACD06-6638-4BE4-8322-F9EFF3D218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54</xdr:col>
      <xdr:colOff>0</xdr:colOff>
      <xdr:row>95</xdr:row>
      <xdr:rowOff>0</xdr:rowOff>
    </xdr:from>
    <xdr:to>
      <xdr:col>59</xdr:col>
      <xdr:colOff>342900</xdr:colOff>
      <xdr:row>111</xdr:row>
      <xdr:rowOff>160020</xdr:rowOff>
    </xdr:to>
    <xdr:graphicFrame macro="">
      <xdr:nvGraphicFramePr>
        <xdr:cNvPr id="7984115" name="Chart 11">
          <a:extLst>
            <a:ext uri="{FF2B5EF4-FFF2-40B4-BE49-F238E27FC236}">
              <a16:creationId xmlns:a16="http://schemas.microsoft.com/office/drawing/2014/main" id="{D1FBC3F5-6E7B-4F1D-A6C0-90FB2EF8D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693420</xdr:colOff>
      <xdr:row>95</xdr:row>
      <xdr:rowOff>0</xdr:rowOff>
    </xdr:from>
    <xdr:to>
      <xdr:col>6</xdr:col>
      <xdr:colOff>167640</xdr:colOff>
      <xdr:row>111</xdr:row>
      <xdr:rowOff>160020</xdr:rowOff>
    </xdr:to>
    <xdr:grpSp>
      <xdr:nvGrpSpPr>
        <xdr:cNvPr id="6" name="Group 5">
          <a:extLst>
            <a:ext uri="{FF2B5EF4-FFF2-40B4-BE49-F238E27FC236}">
              <a16:creationId xmlns:a16="http://schemas.microsoft.com/office/drawing/2014/main" id="{16EAC9D6-9B2E-40C5-9DB2-CB26C1D0C15C}"/>
            </a:ext>
          </a:extLst>
        </xdr:cNvPr>
        <xdr:cNvGrpSpPr/>
      </xdr:nvGrpSpPr>
      <xdr:grpSpPr>
        <a:xfrm>
          <a:off x="693420" y="19081750"/>
          <a:ext cx="4693920" cy="2801620"/>
          <a:chOff x="693420" y="19460308"/>
          <a:chExt cx="4679266" cy="2879774"/>
        </a:xfrm>
      </xdr:grpSpPr>
      <xdr:graphicFrame macro="">
        <xdr:nvGraphicFramePr>
          <xdr:cNvPr id="7984112" name="Chart 8">
            <a:extLst>
              <a:ext uri="{FF2B5EF4-FFF2-40B4-BE49-F238E27FC236}">
                <a16:creationId xmlns:a16="http://schemas.microsoft.com/office/drawing/2014/main" id="{2BCF3F50-6AB3-470E-B665-16B953DB7777}"/>
              </a:ext>
            </a:extLst>
          </xdr:cNvPr>
          <xdr:cNvGraphicFramePr>
            <a:graphicFrameLocks/>
          </xdr:cNvGraphicFramePr>
        </xdr:nvGraphicFramePr>
        <xdr:xfrm>
          <a:off x="693420" y="19460308"/>
          <a:ext cx="4679266" cy="2879774"/>
        </xdr:xfrm>
        <a:graphic>
          <a:graphicData uri="http://schemas.openxmlformats.org/drawingml/2006/chart">
            <c:chart xmlns:c="http://schemas.openxmlformats.org/drawingml/2006/chart" xmlns:r="http://schemas.openxmlformats.org/officeDocument/2006/relationships" r:id="rId8"/>
          </a:graphicData>
        </a:graphic>
      </xdr:graphicFrame>
      <xdr:cxnSp macro="">
        <xdr:nvCxnSpPr>
          <xdr:cNvPr id="14" name="Straight Connector 13">
            <a:extLst>
              <a:ext uri="{FF2B5EF4-FFF2-40B4-BE49-F238E27FC236}">
                <a16:creationId xmlns:a16="http://schemas.microsoft.com/office/drawing/2014/main" id="{A611D817-ABFB-43A2-B46C-8594F405A494}"/>
              </a:ext>
            </a:extLst>
          </xdr:cNvPr>
          <xdr:cNvCxnSpPr/>
        </xdr:nvCxnSpPr>
        <xdr:spPr>
          <a:xfrm>
            <a:off x="1197073" y="21056844"/>
            <a:ext cx="2339623" cy="0"/>
          </a:xfrm>
          <a:prstGeom prst="line">
            <a:avLst/>
          </a:prstGeom>
          <a:ln w="1587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6A022EA8-94F8-4693-A2F1-EC64204CB72F}"/>
              </a:ext>
            </a:extLst>
          </xdr:cNvPr>
          <xdr:cNvCxnSpPr/>
        </xdr:nvCxnSpPr>
        <xdr:spPr>
          <a:xfrm>
            <a:off x="1154577" y="20410463"/>
            <a:ext cx="2339623" cy="0"/>
          </a:xfrm>
          <a:prstGeom prst="line">
            <a:avLst/>
          </a:prstGeom>
          <a:ln w="1587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16" name="TextBox 15">
            <a:extLst>
              <a:ext uri="{FF2B5EF4-FFF2-40B4-BE49-F238E27FC236}">
                <a16:creationId xmlns:a16="http://schemas.microsoft.com/office/drawing/2014/main" id="{01FDDF8D-8D1C-476E-8C79-EF22637B526A}"/>
              </a:ext>
            </a:extLst>
          </xdr:cNvPr>
          <xdr:cNvSpPr txBox="1"/>
        </xdr:nvSpPr>
        <xdr:spPr>
          <a:xfrm>
            <a:off x="1631412" y="20754976"/>
            <a:ext cx="1905301" cy="292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Moderate Disporportionality</a:t>
            </a:r>
          </a:p>
        </xdr:txBody>
      </xdr:sp>
      <xdr:sp macro="" textlink="">
        <xdr:nvSpPr>
          <xdr:cNvPr id="17" name="TextBox 16">
            <a:extLst>
              <a:ext uri="{FF2B5EF4-FFF2-40B4-BE49-F238E27FC236}">
                <a16:creationId xmlns:a16="http://schemas.microsoft.com/office/drawing/2014/main" id="{3C86D7BD-DCA1-446D-87ED-6AF47CDCA0B6}"/>
              </a:ext>
            </a:extLst>
          </xdr:cNvPr>
          <xdr:cNvSpPr txBox="1"/>
        </xdr:nvSpPr>
        <xdr:spPr>
          <a:xfrm>
            <a:off x="1609725" y="20151824"/>
            <a:ext cx="1725492" cy="239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 Disporportionality</a:t>
            </a:r>
          </a:p>
        </xdr:txBody>
      </xdr:sp>
      <xdr:cxnSp macro="">
        <xdr:nvCxnSpPr>
          <xdr:cNvPr id="19" name="Straight Arrow Connector 18">
            <a:extLst>
              <a:ext uri="{FF2B5EF4-FFF2-40B4-BE49-F238E27FC236}">
                <a16:creationId xmlns:a16="http://schemas.microsoft.com/office/drawing/2014/main" id="{B0F96B78-5A53-43AA-9739-DED8F8AD2FC3}"/>
              </a:ext>
            </a:extLst>
          </xdr:cNvPr>
          <xdr:cNvCxnSpPr/>
        </xdr:nvCxnSpPr>
        <xdr:spPr>
          <a:xfrm flipH="1">
            <a:off x="1627603" y="20468346"/>
            <a:ext cx="2382" cy="550459"/>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a:extLst>
              <a:ext uri="{FF2B5EF4-FFF2-40B4-BE49-F238E27FC236}">
                <a16:creationId xmlns:a16="http://schemas.microsoft.com/office/drawing/2014/main" id="{0043285E-D776-40ED-89F8-9DBE426D1C10}"/>
              </a:ext>
            </a:extLst>
          </xdr:cNvPr>
          <xdr:cNvCxnSpPr/>
        </xdr:nvCxnSpPr>
        <xdr:spPr>
          <a:xfrm>
            <a:off x="1629508" y="20122662"/>
            <a:ext cx="1906" cy="260889"/>
          </a:xfrm>
          <a:prstGeom prst="straightConnector1">
            <a:avLst/>
          </a:prstGeom>
          <a:ln w="127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8</xdr:col>
      <xdr:colOff>518160</xdr:colOff>
      <xdr:row>114</xdr:row>
      <xdr:rowOff>137160</xdr:rowOff>
    </xdr:from>
    <xdr:to>
      <xdr:col>14</xdr:col>
      <xdr:colOff>0</xdr:colOff>
      <xdr:row>131</xdr:row>
      <xdr:rowOff>137160</xdr:rowOff>
    </xdr:to>
    <xdr:pic>
      <xdr:nvPicPr>
        <xdr:cNvPr id="7984122" name="Picture 6">
          <a:extLst>
            <a:ext uri="{FF2B5EF4-FFF2-40B4-BE49-F238E27FC236}">
              <a16:creationId xmlns:a16="http://schemas.microsoft.com/office/drawing/2014/main" id="{2D62774A-77A0-4A88-B75A-B17B68DDDD5F}"/>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467600" y="22600920"/>
          <a:ext cx="4693920" cy="2849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441960</xdr:colOff>
      <xdr:row>114</xdr:row>
      <xdr:rowOff>68580</xdr:rowOff>
    </xdr:from>
    <xdr:to>
      <xdr:col>52</xdr:col>
      <xdr:colOff>792480</xdr:colOff>
      <xdr:row>131</xdr:row>
      <xdr:rowOff>68580</xdr:rowOff>
    </xdr:to>
    <xdr:pic>
      <xdr:nvPicPr>
        <xdr:cNvPr id="7984123" name="Picture 7">
          <a:extLst>
            <a:ext uri="{FF2B5EF4-FFF2-40B4-BE49-F238E27FC236}">
              <a16:creationId xmlns:a16="http://schemas.microsoft.com/office/drawing/2014/main" id="{881F2BDA-C67D-403C-9040-E52F96EF3684}"/>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1269920" y="22532340"/>
          <a:ext cx="4693920" cy="2849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54</xdr:col>
      <xdr:colOff>754380</xdr:colOff>
      <xdr:row>116</xdr:row>
      <xdr:rowOff>68580</xdr:rowOff>
    </xdr:from>
    <xdr:to>
      <xdr:col>60</xdr:col>
      <xdr:colOff>228600</xdr:colOff>
      <xdr:row>133</xdr:row>
      <xdr:rowOff>68580</xdr:rowOff>
    </xdr:to>
    <xdr:pic>
      <xdr:nvPicPr>
        <xdr:cNvPr id="7984124" name="Picture 8">
          <a:extLst>
            <a:ext uri="{FF2B5EF4-FFF2-40B4-BE49-F238E27FC236}">
              <a16:creationId xmlns:a16="http://schemas.microsoft.com/office/drawing/2014/main" id="{0F7CADF9-6164-4817-8BB4-6588449C76E9}"/>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7663100" y="22867620"/>
          <a:ext cx="4686300" cy="2849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60960</xdr:colOff>
      <xdr:row>113</xdr:row>
      <xdr:rowOff>144780</xdr:rowOff>
    </xdr:from>
    <xdr:to>
      <xdr:col>6</xdr:col>
      <xdr:colOff>411480</xdr:colOff>
      <xdr:row>130</xdr:row>
      <xdr:rowOff>144780</xdr:rowOff>
    </xdr:to>
    <xdr:pic>
      <xdr:nvPicPr>
        <xdr:cNvPr id="7984125" name="Picture 10">
          <a:extLst>
            <a:ext uri="{FF2B5EF4-FFF2-40B4-BE49-F238E27FC236}">
              <a16:creationId xmlns:a16="http://schemas.microsoft.com/office/drawing/2014/main" id="{C8D7565F-B3AE-4A70-A0C1-9C653124CF29}"/>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29640" y="22440900"/>
          <a:ext cx="4693920" cy="2849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60960</xdr:colOff>
      <xdr:row>20</xdr:row>
      <xdr:rowOff>0</xdr:rowOff>
    </xdr:from>
    <xdr:to>
      <xdr:col>20</xdr:col>
      <xdr:colOff>754380</xdr:colOff>
      <xdr:row>38</xdr:row>
      <xdr:rowOff>45720</xdr:rowOff>
    </xdr:to>
    <xdr:graphicFrame macro="">
      <xdr:nvGraphicFramePr>
        <xdr:cNvPr id="7984126" name="Chart 4">
          <a:extLst>
            <a:ext uri="{FF2B5EF4-FFF2-40B4-BE49-F238E27FC236}">
              <a16:creationId xmlns:a16="http://schemas.microsoft.com/office/drawing/2014/main" id="{0E30C297-3F2C-4379-A33B-5192C8F7A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0</xdr:colOff>
      <xdr:row>95</xdr:row>
      <xdr:rowOff>0</xdr:rowOff>
    </xdr:from>
    <xdr:to>
      <xdr:col>21</xdr:col>
      <xdr:colOff>342900</xdr:colOff>
      <xdr:row>111</xdr:row>
      <xdr:rowOff>160020</xdr:rowOff>
    </xdr:to>
    <xdr:graphicFrame macro="">
      <xdr:nvGraphicFramePr>
        <xdr:cNvPr id="7984127" name="Chart 9">
          <a:extLst>
            <a:ext uri="{FF2B5EF4-FFF2-40B4-BE49-F238E27FC236}">
              <a16:creationId xmlns:a16="http://schemas.microsoft.com/office/drawing/2014/main" id="{63571BBA-4728-451F-8B14-2E2C0BB670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31</xdr:col>
      <xdr:colOff>60960</xdr:colOff>
      <xdr:row>19</xdr:row>
      <xdr:rowOff>121920</xdr:rowOff>
    </xdr:from>
    <xdr:to>
      <xdr:col>36</xdr:col>
      <xdr:colOff>754380</xdr:colOff>
      <xdr:row>38</xdr:row>
      <xdr:rowOff>0</xdr:rowOff>
    </xdr:to>
    <xdr:graphicFrame macro="">
      <xdr:nvGraphicFramePr>
        <xdr:cNvPr id="9231360" name="Chart 4">
          <a:extLst>
            <a:ext uri="{FF2B5EF4-FFF2-40B4-BE49-F238E27FC236}">
              <a16:creationId xmlns:a16="http://schemas.microsoft.com/office/drawing/2014/main" id="{27DEA7ED-B853-4407-AEF2-EDA220123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32</xdr:col>
      <xdr:colOff>0</xdr:colOff>
      <xdr:row>95</xdr:row>
      <xdr:rowOff>0</xdr:rowOff>
    </xdr:from>
    <xdr:to>
      <xdr:col>37</xdr:col>
      <xdr:colOff>342900</xdr:colOff>
      <xdr:row>111</xdr:row>
      <xdr:rowOff>160020</xdr:rowOff>
    </xdr:to>
    <xdr:graphicFrame macro="">
      <xdr:nvGraphicFramePr>
        <xdr:cNvPr id="9231361" name="Chart 9">
          <a:extLst>
            <a:ext uri="{FF2B5EF4-FFF2-40B4-BE49-F238E27FC236}">
              <a16:creationId xmlns:a16="http://schemas.microsoft.com/office/drawing/2014/main" id="{CCAF9D82-0E82-4741-8348-0D97898C9F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39</xdr:col>
      <xdr:colOff>60960</xdr:colOff>
      <xdr:row>20</xdr:row>
      <xdr:rowOff>0</xdr:rowOff>
    </xdr:from>
    <xdr:to>
      <xdr:col>44</xdr:col>
      <xdr:colOff>754380</xdr:colOff>
      <xdr:row>38</xdr:row>
      <xdr:rowOff>45720</xdr:rowOff>
    </xdr:to>
    <xdr:graphicFrame macro="">
      <xdr:nvGraphicFramePr>
        <xdr:cNvPr id="9231362" name="Chart 4">
          <a:extLst>
            <a:ext uri="{FF2B5EF4-FFF2-40B4-BE49-F238E27FC236}">
              <a16:creationId xmlns:a16="http://schemas.microsoft.com/office/drawing/2014/main" id="{799E1812-09A0-4212-A7EA-89D0D5CD33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39</xdr:col>
      <xdr:colOff>807720</xdr:colOff>
      <xdr:row>95</xdr:row>
      <xdr:rowOff>7620</xdr:rowOff>
    </xdr:from>
    <xdr:to>
      <xdr:col>45</xdr:col>
      <xdr:colOff>281940</xdr:colOff>
      <xdr:row>112</xdr:row>
      <xdr:rowOff>0</xdr:rowOff>
    </xdr:to>
    <xdr:graphicFrame macro="">
      <xdr:nvGraphicFramePr>
        <xdr:cNvPr id="9231363" name="Chart 9">
          <a:extLst>
            <a:ext uri="{FF2B5EF4-FFF2-40B4-BE49-F238E27FC236}">
              <a16:creationId xmlns:a16="http://schemas.microsoft.com/office/drawing/2014/main" id="{FC0DDC08-4586-413A-A5BA-58F75CA5DA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16</xdr:col>
      <xdr:colOff>7620</xdr:colOff>
      <xdr:row>115</xdr:row>
      <xdr:rowOff>76200</xdr:rowOff>
    </xdr:from>
    <xdr:to>
      <xdr:col>21</xdr:col>
      <xdr:colOff>350520</xdr:colOff>
      <xdr:row>132</xdr:row>
      <xdr:rowOff>68580</xdr:rowOff>
    </xdr:to>
    <xdr:pic>
      <xdr:nvPicPr>
        <xdr:cNvPr id="9231364" name="Picture 2">
          <a:extLst>
            <a:ext uri="{FF2B5EF4-FFF2-40B4-BE49-F238E27FC236}">
              <a16:creationId xmlns:a16="http://schemas.microsoft.com/office/drawing/2014/main" id="{594ADD89-AE80-40A9-8A7F-9034E2633C72}"/>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3906500" y="22707600"/>
          <a:ext cx="4686300" cy="284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243840</xdr:colOff>
      <xdr:row>113</xdr:row>
      <xdr:rowOff>160020</xdr:rowOff>
    </xdr:from>
    <xdr:to>
      <xdr:col>37</xdr:col>
      <xdr:colOff>579120</xdr:colOff>
      <xdr:row>130</xdr:row>
      <xdr:rowOff>144780</xdr:rowOff>
    </xdr:to>
    <xdr:pic>
      <xdr:nvPicPr>
        <xdr:cNvPr id="9231365" name="Picture 3">
          <a:extLst>
            <a:ext uri="{FF2B5EF4-FFF2-40B4-BE49-F238E27FC236}">
              <a16:creationId xmlns:a16="http://schemas.microsoft.com/office/drawing/2014/main" id="{A8DBB9D3-E0F5-42EF-8F38-9553AB4A222A}"/>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8041600" y="22456140"/>
          <a:ext cx="4678680" cy="2834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38100</xdr:colOff>
      <xdr:row>114</xdr:row>
      <xdr:rowOff>38100</xdr:rowOff>
    </xdr:from>
    <xdr:to>
      <xdr:col>45</xdr:col>
      <xdr:colOff>381000</xdr:colOff>
      <xdr:row>131</xdr:row>
      <xdr:rowOff>30480</xdr:rowOff>
    </xdr:to>
    <xdr:pic>
      <xdr:nvPicPr>
        <xdr:cNvPr id="9231366" name="Picture 4">
          <a:extLst>
            <a:ext uri="{FF2B5EF4-FFF2-40B4-BE49-F238E27FC236}">
              <a16:creationId xmlns:a16="http://schemas.microsoft.com/office/drawing/2014/main" id="{07B49ED1-9090-44E0-B0CB-F2C93C9852A5}"/>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4785300" y="22501860"/>
          <a:ext cx="4686300" cy="284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792480</xdr:colOff>
      <xdr:row>95</xdr:row>
      <xdr:rowOff>68580</xdr:rowOff>
    </xdr:from>
    <xdr:to>
      <xdr:col>28</xdr:col>
      <xdr:colOff>266700</xdr:colOff>
      <xdr:row>112</xdr:row>
      <xdr:rowOff>60960</xdr:rowOff>
    </xdr:to>
    <xdr:graphicFrame macro="">
      <xdr:nvGraphicFramePr>
        <xdr:cNvPr id="9231367" name="Chart 9">
          <a:extLst>
            <a:ext uri="{FF2B5EF4-FFF2-40B4-BE49-F238E27FC236}">
              <a16:creationId xmlns:a16="http://schemas.microsoft.com/office/drawing/2014/main" id="{87E2FD2E-3AA2-4AB3-87E9-A81BDD7A3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22</xdr:col>
      <xdr:colOff>91440</xdr:colOff>
      <xdr:row>18</xdr:row>
      <xdr:rowOff>129540</xdr:rowOff>
    </xdr:from>
    <xdr:to>
      <xdr:col>27</xdr:col>
      <xdr:colOff>777240</xdr:colOff>
      <xdr:row>37</xdr:row>
      <xdr:rowOff>7620</xdr:rowOff>
    </xdr:to>
    <xdr:graphicFrame macro="">
      <xdr:nvGraphicFramePr>
        <xdr:cNvPr id="9231368" name="Chart 4">
          <a:extLst>
            <a:ext uri="{FF2B5EF4-FFF2-40B4-BE49-F238E27FC236}">
              <a16:creationId xmlns:a16="http://schemas.microsoft.com/office/drawing/2014/main" id="{BCC7F692-DDB8-423E-8595-AA325A34FB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22</xdr:col>
      <xdr:colOff>845820</xdr:colOff>
      <xdr:row>117</xdr:row>
      <xdr:rowOff>91440</xdr:rowOff>
    </xdr:from>
    <xdr:to>
      <xdr:col>28</xdr:col>
      <xdr:colOff>320040</xdr:colOff>
      <xdr:row>134</xdr:row>
      <xdr:rowOff>76200</xdr:rowOff>
    </xdr:to>
    <xdr:pic>
      <xdr:nvPicPr>
        <xdr:cNvPr id="9231369" name="Picture 1">
          <a:extLst>
            <a:ext uri="{FF2B5EF4-FFF2-40B4-BE49-F238E27FC236}">
              <a16:creationId xmlns:a16="http://schemas.microsoft.com/office/drawing/2014/main" id="{8DE4AD8F-8EB8-42A9-949B-D2A822916E22}"/>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9956780" y="23058120"/>
          <a:ext cx="4686300" cy="2834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0.1052</cdr:x>
      <cdr:y>0.55327</cdr:y>
    </cdr:from>
    <cdr:to>
      <cdr:x>0.60507</cdr:x>
      <cdr:y>0.55327</cdr:y>
    </cdr:to>
    <cdr:cxnSp macro="">
      <cdr:nvCxnSpPr>
        <cdr:cNvPr id="33" name="Straight Connector 32">
          <a:extLst xmlns:a="http://schemas.openxmlformats.org/drawingml/2006/main">
            <a:ext uri="{FF2B5EF4-FFF2-40B4-BE49-F238E27FC236}">
              <a16:creationId xmlns:a16="http://schemas.microsoft.com/office/drawing/2014/main" id="{A611D817-ABFB-43A2-B46C-8594F405A494}"/>
            </a:ext>
          </a:extLst>
        </cdr:cNvPr>
        <cdr:cNvCxnSpPr/>
      </cdr:nvCxnSpPr>
      <cdr:spPr>
        <a:xfrm xmlns:a="http://schemas.openxmlformats.org/drawingml/2006/main">
          <a:off x="492369" y="1594582"/>
          <a:ext cx="2339623" cy="0"/>
        </a:xfrm>
        <a:prstGeom xmlns:a="http://schemas.openxmlformats.org/drawingml/2006/main" prst="line">
          <a:avLst/>
        </a:prstGeom>
        <a:ln xmlns:a="http://schemas.openxmlformats.org/drawingml/2006/main" w="1587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0.1052</cdr:x>
      <cdr:y>0.32899</cdr:y>
    </cdr:from>
    <cdr:to>
      <cdr:x>0.60507</cdr:x>
      <cdr:y>0.32899</cdr:y>
    </cdr:to>
    <cdr:cxnSp macro="">
      <cdr:nvCxnSpPr>
        <cdr:cNvPr id="34" name="Straight Connector 33">
          <a:extLst xmlns:a="http://schemas.openxmlformats.org/drawingml/2006/main">
            <a:ext uri="{FF2B5EF4-FFF2-40B4-BE49-F238E27FC236}">
              <a16:creationId xmlns:a16="http://schemas.microsoft.com/office/drawing/2014/main" id="{6A022EA8-94F8-4693-A2F1-EC64204CB72F}"/>
            </a:ext>
          </a:extLst>
        </cdr:cNvPr>
        <cdr:cNvCxnSpPr/>
      </cdr:nvCxnSpPr>
      <cdr:spPr>
        <a:xfrm xmlns:a="http://schemas.openxmlformats.org/drawingml/2006/main">
          <a:off x="492369" y="948201"/>
          <a:ext cx="2339623" cy="0"/>
        </a:xfrm>
        <a:prstGeom xmlns:a="http://schemas.openxmlformats.org/drawingml/2006/main" prst="line">
          <a:avLst/>
        </a:prstGeom>
        <a:ln xmlns:a="http://schemas.openxmlformats.org/drawingml/2006/main" w="1587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0.11693</cdr:x>
      <cdr:y>0.43023</cdr:y>
    </cdr:from>
    <cdr:to>
      <cdr:x>0.52401</cdr:x>
      <cdr:y>0.53166</cdr:y>
    </cdr:to>
    <cdr:sp macro="" textlink="">
      <cdr:nvSpPr>
        <cdr:cNvPr id="35" name="TextBox 15">
          <a:extLst xmlns:a="http://schemas.openxmlformats.org/drawingml/2006/main">
            <a:ext uri="{FF2B5EF4-FFF2-40B4-BE49-F238E27FC236}">
              <a16:creationId xmlns:a16="http://schemas.microsoft.com/office/drawing/2014/main" id="{01FDDF8D-8D1C-476E-8C79-EF22637B526A}"/>
            </a:ext>
          </a:extLst>
        </cdr:cNvPr>
        <cdr:cNvSpPr txBox="1"/>
      </cdr:nvSpPr>
      <cdr:spPr>
        <a:xfrm xmlns:a="http://schemas.openxmlformats.org/drawingml/2006/main">
          <a:off x="547272" y="1239960"/>
          <a:ext cx="1905301" cy="2923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Moderate Disporportionality</a:t>
          </a:r>
        </a:p>
      </cdr:txBody>
    </cdr:sp>
  </cdr:relSizeAnchor>
  <cdr:relSizeAnchor xmlns:cdr="http://schemas.openxmlformats.org/drawingml/2006/chartDrawing">
    <cdr:from>
      <cdr:x>0.11605</cdr:x>
      <cdr:y>0.23926</cdr:y>
    </cdr:from>
    <cdr:to>
      <cdr:x>0.48471</cdr:x>
      <cdr:y>0.32227</cdr:y>
    </cdr:to>
    <cdr:sp macro="" textlink="">
      <cdr:nvSpPr>
        <cdr:cNvPr id="36" name="TextBox 16">
          <a:extLst xmlns:a="http://schemas.openxmlformats.org/drawingml/2006/main">
            <a:ext uri="{FF2B5EF4-FFF2-40B4-BE49-F238E27FC236}">
              <a16:creationId xmlns:a16="http://schemas.microsoft.com/office/drawing/2014/main" id="{3C86D7BD-DCA1-446D-87ED-6AF47CDCA0B6}"/>
            </a:ext>
          </a:extLst>
        </cdr:cNvPr>
        <cdr:cNvSpPr txBox="1"/>
      </cdr:nvSpPr>
      <cdr:spPr>
        <a:xfrm xmlns:a="http://schemas.openxmlformats.org/drawingml/2006/main">
          <a:off x="543169" y="689562"/>
          <a:ext cx="1725492" cy="2392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High Disporportionality</a:t>
          </a:r>
        </a:p>
      </cdr:txBody>
    </cdr:sp>
  </cdr:relSizeAnchor>
  <cdr:relSizeAnchor xmlns:cdr="http://schemas.openxmlformats.org/drawingml/2006/chartDrawing">
    <cdr:from>
      <cdr:x>0.11987</cdr:x>
      <cdr:y>0.34908</cdr:y>
    </cdr:from>
    <cdr:to>
      <cdr:x>0.12038</cdr:x>
      <cdr:y>0.54007</cdr:y>
    </cdr:to>
    <cdr:cxnSp macro="">
      <cdr:nvCxnSpPr>
        <cdr:cNvPr id="37" name="Straight Arrow Connector 36">
          <a:extLst xmlns:a="http://schemas.openxmlformats.org/drawingml/2006/main">
            <a:ext uri="{FF2B5EF4-FFF2-40B4-BE49-F238E27FC236}">
              <a16:creationId xmlns:a16="http://schemas.microsoft.com/office/drawing/2014/main" id="{B0F96B78-5A53-43AA-9739-DED8F8AD2FC3}"/>
            </a:ext>
          </a:extLst>
        </cdr:cNvPr>
        <cdr:cNvCxnSpPr/>
      </cdr:nvCxnSpPr>
      <cdr:spPr>
        <a:xfrm xmlns:a="http://schemas.openxmlformats.org/drawingml/2006/main" flipH="1">
          <a:off x="561047" y="1006084"/>
          <a:ext cx="2382" cy="550459"/>
        </a:xfrm>
        <a:prstGeom xmlns:a="http://schemas.openxmlformats.org/drawingml/2006/main" prst="straightConnector1">
          <a:avLst/>
        </a:prstGeom>
        <a:ln xmlns:a="http://schemas.openxmlformats.org/drawingml/2006/main" w="1270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0.12028</cdr:x>
      <cdr:y>0.22914</cdr:y>
    </cdr:from>
    <cdr:to>
      <cdr:x>0.12068</cdr:x>
      <cdr:y>0.31966</cdr:y>
    </cdr:to>
    <cdr:cxnSp macro="">
      <cdr:nvCxnSpPr>
        <cdr:cNvPr id="38" name="Straight Arrow Connector 37">
          <a:extLst xmlns:a="http://schemas.openxmlformats.org/drawingml/2006/main">
            <a:ext uri="{FF2B5EF4-FFF2-40B4-BE49-F238E27FC236}">
              <a16:creationId xmlns:a16="http://schemas.microsoft.com/office/drawing/2014/main" id="{0043285E-D776-40ED-89F8-9DBE426D1C10}"/>
            </a:ext>
          </a:extLst>
        </cdr:cNvPr>
        <cdr:cNvCxnSpPr/>
      </cdr:nvCxnSpPr>
      <cdr:spPr>
        <a:xfrm xmlns:a="http://schemas.openxmlformats.org/drawingml/2006/main">
          <a:off x="562952" y="660400"/>
          <a:ext cx="1906" cy="260889"/>
        </a:xfrm>
        <a:prstGeom xmlns:a="http://schemas.openxmlformats.org/drawingml/2006/main" prst="straightConnector1">
          <a:avLst/>
        </a:prstGeom>
        <a:ln xmlns:a="http://schemas.openxmlformats.org/drawingml/2006/main" w="12700">
          <a:solidFill>
            <a:schemeClr val="tx1"/>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0.11772</cdr:x>
      <cdr:y>0.55327</cdr:y>
    </cdr:from>
    <cdr:to>
      <cdr:x>0.61759</cdr:x>
      <cdr:y>0.55327</cdr:y>
    </cdr:to>
    <cdr:cxnSp macro="">
      <cdr:nvCxnSpPr>
        <cdr:cNvPr id="8" name="Straight Connector 7">
          <a:extLst xmlns:a="http://schemas.openxmlformats.org/drawingml/2006/main">
            <a:ext uri="{FF2B5EF4-FFF2-40B4-BE49-F238E27FC236}">
              <a16:creationId xmlns:a16="http://schemas.microsoft.com/office/drawing/2014/main" id="{95DB5706-BD9A-4988-8BB4-D1FC4B7207A0}"/>
            </a:ext>
          </a:extLst>
        </cdr:cNvPr>
        <cdr:cNvCxnSpPr/>
      </cdr:nvCxnSpPr>
      <cdr:spPr>
        <a:xfrm xmlns:a="http://schemas.openxmlformats.org/drawingml/2006/main">
          <a:off x="550984" y="1594582"/>
          <a:ext cx="2339623" cy="0"/>
        </a:xfrm>
        <a:prstGeom xmlns:a="http://schemas.openxmlformats.org/drawingml/2006/main" prst="line">
          <a:avLst/>
        </a:prstGeom>
        <a:ln xmlns:a="http://schemas.openxmlformats.org/drawingml/2006/main" w="1587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0.11772</cdr:x>
      <cdr:y>0.32899</cdr:y>
    </cdr:from>
    <cdr:to>
      <cdr:x>0.61759</cdr:x>
      <cdr:y>0.32899</cdr:y>
    </cdr:to>
    <cdr:cxnSp macro="">
      <cdr:nvCxnSpPr>
        <cdr:cNvPr id="9" name="Straight Connector 8">
          <a:extLst xmlns:a="http://schemas.openxmlformats.org/drawingml/2006/main">
            <a:ext uri="{FF2B5EF4-FFF2-40B4-BE49-F238E27FC236}">
              <a16:creationId xmlns:a16="http://schemas.microsoft.com/office/drawing/2014/main" id="{DAECA7C8-1436-46F1-A6A8-3C30F2BB674D}"/>
            </a:ext>
          </a:extLst>
        </cdr:cNvPr>
        <cdr:cNvCxnSpPr/>
      </cdr:nvCxnSpPr>
      <cdr:spPr>
        <a:xfrm xmlns:a="http://schemas.openxmlformats.org/drawingml/2006/main">
          <a:off x="550984" y="948201"/>
          <a:ext cx="2339623" cy="0"/>
        </a:xfrm>
        <a:prstGeom xmlns:a="http://schemas.openxmlformats.org/drawingml/2006/main" prst="line">
          <a:avLst/>
        </a:prstGeom>
        <a:ln xmlns:a="http://schemas.openxmlformats.org/drawingml/2006/main" w="1587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0.13696</cdr:x>
      <cdr:y>0.41802</cdr:y>
    </cdr:from>
    <cdr:to>
      <cdr:x>0.54404</cdr:x>
      <cdr:y>0.51946</cdr:y>
    </cdr:to>
    <cdr:sp macro="" textlink="">
      <cdr:nvSpPr>
        <cdr:cNvPr id="10" name="TextBox 15">
          <a:extLst xmlns:a="http://schemas.openxmlformats.org/drawingml/2006/main">
            <a:ext uri="{FF2B5EF4-FFF2-40B4-BE49-F238E27FC236}">
              <a16:creationId xmlns:a16="http://schemas.microsoft.com/office/drawing/2014/main" id="{CEC6EAB4-BF96-4626-8F25-A11660982A41}"/>
            </a:ext>
          </a:extLst>
        </cdr:cNvPr>
        <cdr:cNvSpPr txBox="1"/>
      </cdr:nvSpPr>
      <cdr:spPr>
        <a:xfrm xmlns:a="http://schemas.openxmlformats.org/drawingml/2006/main">
          <a:off x="641056" y="1204791"/>
          <a:ext cx="1905301" cy="2923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Moderate Disporportionality</a:t>
          </a:r>
        </a:p>
      </cdr:txBody>
    </cdr:sp>
  </cdr:relSizeAnchor>
  <cdr:relSizeAnchor xmlns:cdr="http://schemas.openxmlformats.org/drawingml/2006/chartDrawing">
    <cdr:from>
      <cdr:x>0.13609</cdr:x>
      <cdr:y>0.23112</cdr:y>
    </cdr:from>
    <cdr:to>
      <cdr:x>0.50475</cdr:x>
      <cdr:y>0.31414</cdr:y>
    </cdr:to>
    <cdr:sp macro="" textlink="">
      <cdr:nvSpPr>
        <cdr:cNvPr id="11" name="TextBox 16">
          <a:extLst xmlns:a="http://schemas.openxmlformats.org/drawingml/2006/main">
            <a:ext uri="{FF2B5EF4-FFF2-40B4-BE49-F238E27FC236}">
              <a16:creationId xmlns:a16="http://schemas.microsoft.com/office/drawing/2014/main" id="{631BF35A-065E-4FF5-8204-461BB69EC2E9}"/>
            </a:ext>
          </a:extLst>
        </cdr:cNvPr>
        <cdr:cNvSpPr txBox="1"/>
      </cdr:nvSpPr>
      <cdr:spPr>
        <a:xfrm xmlns:a="http://schemas.openxmlformats.org/drawingml/2006/main">
          <a:off x="636953" y="666116"/>
          <a:ext cx="1725492" cy="2392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High Disporportionality</a:t>
          </a:r>
        </a:p>
      </cdr:txBody>
    </cdr:sp>
  </cdr:relSizeAnchor>
  <cdr:relSizeAnchor xmlns:cdr="http://schemas.openxmlformats.org/drawingml/2006/chartDrawing">
    <cdr:from>
      <cdr:x>0.13239</cdr:x>
      <cdr:y>0.34908</cdr:y>
    </cdr:from>
    <cdr:to>
      <cdr:x>0.1329</cdr:x>
      <cdr:y>0.54007</cdr:y>
    </cdr:to>
    <cdr:cxnSp macro="">
      <cdr:nvCxnSpPr>
        <cdr:cNvPr id="12" name="Straight Arrow Connector 11">
          <a:extLst xmlns:a="http://schemas.openxmlformats.org/drawingml/2006/main">
            <a:ext uri="{FF2B5EF4-FFF2-40B4-BE49-F238E27FC236}">
              <a16:creationId xmlns:a16="http://schemas.microsoft.com/office/drawing/2014/main" id="{5E608462-1B38-4C37-B8EE-1D1B5E7BE356}"/>
            </a:ext>
          </a:extLst>
        </cdr:cNvPr>
        <cdr:cNvCxnSpPr/>
      </cdr:nvCxnSpPr>
      <cdr:spPr>
        <a:xfrm xmlns:a="http://schemas.openxmlformats.org/drawingml/2006/main" flipH="1">
          <a:off x="619662" y="1006084"/>
          <a:ext cx="2382" cy="550459"/>
        </a:xfrm>
        <a:prstGeom xmlns:a="http://schemas.openxmlformats.org/drawingml/2006/main" prst="straightConnector1">
          <a:avLst/>
        </a:prstGeom>
        <a:ln xmlns:a="http://schemas.openxmlformats.org/drawingml/2006/main" w="1270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0.1328</cdr:x>
      <cdr:y>0.22914</cdr:y>
    </cdr:from>
    <cdr:to>
      <cdr:x>0.13321</cdr:x>
      <cdr:y>0.31966</cdr:y>
    </cdr:to>
    <cdr:cxnSp macro="">
      <cdr:nvCxnSpPr>
        <cdr:cNvPr id="13" name="Straight Arrow Connector 12">
          <a:extLst xmlns:a="http://schemas.openxmlformats.org/drawingml/2006/main">
            <a:ext uri="{FF2B5EF4-FFF2-40B4-BE49-F238E27FC236}">
              <a16:creationId xmlns:a16="http://schemas.microsoft.com/office/drawing/2014/main" id="{080A95B4-9058-4E84-AD62-584854150236}"/>
            </a:ext>
          </a:extLst>
        </cdr:cNvPr>
        <cdr:cNvCxnSpPr/>
      </cdr:nvCxnSpPr>
      <cdr:spPr>
        <a:xfrm xmlns:a="http://schemas.openxmlformats.org/drawingml/2006/main">
          <a:off x="621567" y="660400"/>
          <a:ext cx="1906" cy="260889"/>
        </a:xfrm>
        <a:prstGeom xmlns:a="http://schemas.openxmlformats.org/drawingml/2006/main" prst="straightConnector1">
          <a:avLst/>
        </a:prstGeom>
        <a:ln xmlns:a="http://schemas.openxmlformats.org/drawingml/2006/main" w="12700">
          <a:solidFill>
            <a:schemeClr val="tx1"/>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0.11522</cdr:x>
      <cdr:y>0.55372</cdr:y>
    </cdr:from>
    <cdr:to>
      <cdr:x>0.61509</cdr:x>
      <cdr:y>0.55372</cdr:y>
    </cdr:to>
    <cdr:cxnSp macro="">
      <cdr:nvCxnSpPr>
        <cdr:cNvPr id="8" name="Straight Connector 7">
          <a:extLst xmlns:a="http://schemas.openxmlformats.org/drawingml/2006/main">
            <a:ext uri="{FF2B5EF4-FFF2-40B4-BE49-F238E27FC236}">
              <a16:creationId xmlns:a16="http://schemas.microsoft.com/office/drawing/2014/main" id="{95DB5706-BD9A-4988-8BB4-D1FC4B7207A0}"/>
            </a:ext>
          </a:extLst>
        </cdr:cNvPr>
        <cdr:cNvCxnSpPr/>
      </cdr:nvCxnSpPr>
      <cdr:spPr>
        <a:xfrm xmlns:a="http://schemas.openxmlformats.org/drawingml/2006/main">
          <a:off x="539261" y="1594582"/>
          <a:ext cx="2339623" cy="0"/>
        </a:xfrm>
        <a:prstGeom xmlns:a="http://schemas.openxmlformats.org/drawingml/2006/main" prst="line">
          <a:avLst/>
        </a:prstGeom>
        <a:ln xmlns:a="http://schemas.openxmlformats.org/drawingml/2006/main" w="1587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0.11522</cdr:x>
      <cdr:y>0.32926</cdr:y>
    </cdr:from>
    <cdr:to>
      <cdr:x>0.61509</cdr:x>
      <cdr:y>0.32926</cdr:y>
    </cdr:to>
    <cdr:cxnSp macro="">
      <cdr:nvCxnSpPr>
        <cdr:cNvPr id="9" name="Straight Connector 8">
          <a:extLst xmlns:a="http://schemas.openxmlformats.org/drawingml/2006/main">
            <a:ext uri="{FF2B5EF4-FFF2-40B4-BE49-F238E27FC236}">
              <a16:creationId xmlns:a16="http://schemas.microsoft.com/office/drawing/2014/main" id="{DAECA7C8-1436-46F1-A6A8-3C30F2BB674D}"/>
            </a:ext>
          </a:extLst>
        </cdr:cNvPr>
        <cdr:cNvCxnSpPr/>
      </cdr:nvCxnSpPr>
      <cdr:spPr>
        <a:xfrm xmlns:a="http://schemas.openxmlformats.org/drawingml/2006/main">
          <a:off x="539261" y="948201"/>
          <a:ext cx="2339623" cy="0"/>
        </a:xfrm>
        <a:prstGeom xmlns:a="http://schemas.openxmlformats.org/drawingml/2006/main" prst="line">
          <a:avLst/>
        </a:prstGeom>
        <a:ln xmlns:a="http://schemas.openxmlformats.org/drawingml/2006/main" w="1587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0.16201</cdr:x>
      <cdr:y>0.44482</cdr:y>
    </cdr:from>
    <cdr:to>
      <cdr:x>0.56909</cdr:x>
      <cdr:y>0.54634</cdr:y>
    </cdr:to>
    <cdr:sp macro="" textlink="">
      <cdr:nvSpPr>
        <cdr:cNvPr id="10" name="TextBox 15">
          <a:extLst xmlns:a="http://schemas.openxmlformats.org/drawingml/2006/main">
            <a:ext uri="{FF2B5EF4-FFF2-40B4-BE49-F238E27FC236}">
              <a16:creationId xmlns:a16="http://schemas.microsoft.com/office/drawing/2014/main" id="{CEC6EAB4-BF96-4626-8F25-A11660982A41}"/>
            </a:ext>
          </a:extLst>
        </cdr:cNvPr>
        <cdr:cNvSpPr txBox="1"/>
      </cdr:nvSpPr>
      <cdr:spPr>
        <a:xfrm xmlns:a="http://schemas.openxmlformats.org/drawingml/2006/main">
          <a:off x="758287" y="1280991"/>
          <a:ext cx="1905301" cy="2923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Moderate Disporportionality</a:t>
          </a:r>
        </a:p>
      </cdr:txBody>
    </cdr:sp>
  </cdr:relSizeAnchor>
  <cdr:relSizeAnchor xmlns:cdr="http://schemas.openxmlformats.org/drawingml/2006/chartDrawing">
    <cdr:from>
      <cdr:x>0.15613</cdr:x>
      <cdr:y>0.23131</cdr:y>
    </cdr:from>
    <cdr:to>
      <cdr:x>0.52479</cdr:x>
      <cdr:y>0.31439</cdr:y>
    </cdr:to>
    <cdr:sp macro="" textlink="">
      <cdr:nvSpPr>
        <cdr:cNvPr id="11" name="TextBox 16">
          <a:extLst xmlns:a="http://schemas.openxmlformats.org/drawingml/2006/main">
            <a:ext uri="{FF2B5EF4-FFF2-40B4-BE49-F238E27FC236}">
              <a16:creationId xmlns:a16="http://schemas.microsoft.com/office/drawing/2014/main" id="{631BF35A-065E-4FF5-8204-461BB69EC2E9}"/>
            </a:ext>
          </a:extLst>
        </cdr:cNvPr>
        <cdr:cNvSpPr txBox="1"/>
      </cdr:nvSpPr>
      <cdr:spPr>
        <a:xfrm xmlns:a="http://schemas.openxmlformats.org/drawingml/2006/main">
          <a:off x="730738" y="666116"/>
          <a:ext cx="1725492" cy="2392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High Disporportionality</a:t>
          </a:r>
        </a:p>
      </cdr:txBody>
    </cdr:sp>
  </cdr:relSizeAnchor>
  <cdr:relSizeAnchor xmlns:cdr="http://schemas.openxmlformats.org/drawingml/2006/chartDrawing">
    <cdr:from>
      <cdr:x>0.12989</cdr:x>
      <cdr:y>0.34936</cdr:y>
    </cdr:from>
    <cdr:to>
      <cdr:x>0.1304</cdr:x>
      <cdr:y>0.54051</cdr:y>
    </cdr:to>
    <cdr:cxnSp macro="">
      <cdr:nvCxnSpPr>
        <cdr:cNvPr id="12" name="Straight Arrow Connector 11">
          <a:extLst xmlns:a="http://schemas.openxmlformats.org/drawingml/2006/main">
            <a:ext uri="{FF2B5EF4-FFF2-40B4-BE49-F238E27FC236}">
              <a16:creationId xmlns:a16="http://schemas.microsoft.com/office/drawing/2014/main" id="{5E608462-1B38-4C37-B8EE-1D1B5E7BE356}"/>
            </a:ext>
          </a:extLst>
        </cdr:cNvPr>
        <cdr:cNvCxnSpPr/>
      </cdr:nvCxnSpPr>
      <cdr:spPr>
        <a:xfrm xmlns:a="http://schemas.openxmlformats.org/drawingml/2006/main" flipH="1">
          <a:off x="607939" y="1006084"/>
          <a:ext cx="2382" cy="550459"/>
        </a:xfrm>
        <a:prstGeom xmlns:a="http://schemas.openxmlformats.org/drawingml/2006/main" prst="straightConnector1">
          <a:avLst/>
        </a:prstGeom>
        <a:ln xmlns:a="http://schemas.openxmlformats.org/drawingml/2006/main" w="1270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0.1303</cdr:x>
      <cdr:y>0.22932</cdr:y>
    </cdr:from>
    <cdr:to>
      <cdr:x>0.1307</cdr:x>
      <cdr:y>0.31992</cdr:y>
    </cdr:to>
    <cdr:cxnSp macro="">
      <cdr:nvCxnSpPr>
        <cdr:cNvPr id="13" name="Straight Arrow Connector 12">
          <a:extLst xmlns:a="http://schemas.openxmlformats.org/drawingml/2006/main">
            <a:ext uri="{FF2B5EF4-FFF2-40B4-BE49-F238E27FC236}">
              <a16:creationId xmlns:a16="http://schemas.microsoft.com/office/drawing/2014/main" id="{080A95B4-9058-4E84-AD62-584854150236}"/>
            </a:ext>
          </a:extLst>
        </cdr:cNvPr>
        <cdr:cNvCxnSpPr/>
      </cdr:nvCxnSpPr>
      <cdr:spPr>
        <a:xfrm xmlns:a="http://schemas.openxmlformats.org/drawingml/2006/main">
          <a:off x="609844" y="660400"/>
          <a:ext cx="1906" cy="260889"/>
        </a:xfrm>
        <a:prstGeom xmlns:a="http://schemas.openxmlformats.org/drawingml/2006/main" prst="straightConnector1">
          <a:avLst/>
        </a:prstGeom>
        <a:ln xmlns:a="http://schemas.openxmlformats.org/drawingml/2006/main" w="12700">
          <a:solidFill>
            <a:schemeClr val="tx1"/>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0.09894</cdr:x>
      <cdr:y>0.55372</cdr:y>
    </cdr:from>
    <cdr:to>
      <cdr:x>0.59881</cdr:x>
      <cdr:y>0.55372</cdr:y>
    </cdr:to>
    <cdr:cxnSp macro="">
      <cdr:nvCxnSpPr>
        <cdr:cNvPr id="15" name="Straight Connector 14">
          <a:extLst xmlns:a="http://schemas.openxmlformats.org/drawingml/2006/main">
            <a:ext uri="{FF2B5EF4-FFF2-40B4-BE49-F238E27FC236}">
              <a16:creationId xmlns:a16="http://schemas.microsoft.com/office/drawing/2014/main" id="{729612FA-737D-4EE9-9EEE-439A88F20DD9}"/>
            </a:ext>
          </a:extLst>
        </cdr:cNvPr>
        <cdr:cNvCxnSpPr/>
      </cdr:nvCxnSpPr>
      <cdr:spPr>
        <a:xfrm xmlns:a="http://schemas.openxmlformats.org/drawingml/2006/main">
          <a:off x="463062" y="1594582"/>
          <a:ext cx="2339623" cy="0"/>
        </a:xfrm>
        <a:prstGeom xmlns:a="http://schemas.openxmlformats.org/drawingml/2006/main" prst="line">
          <a:avLst/>
        </a:prstGeom>
        <a:ln xmlns:a="http://schemas.openxmlformats.org/drawingml/2006/main" w="1587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0.09894</cdr:x>
      <cdr:y>0.32926</cdr:y>
    </cdr:from>
    <cdr:to>
      <cdr:x>0.59881</cdr:x>
      <cdr:y>0.32926</cdr:y>
    </cdr:to>
    <cdr:cxnSp macro="">
      <cdr:nvCxnSpPr>
        <cdr:cNvPr id="16" name="Straight Connector 15">
          <a:extLst xmlns:a="http://schemas.openxmlformats.org/drawingml/2006/main">
            <a:ext uri="{FF2B5EF4-FFF2-40B4-BE49-F238E27FC236}">
              <a16:creationId xmlns:a16="http://schemas.microsoft.com/office/drawing/2014/main" id="{1D1158CD-5652-46BD-95FA-6E3195E5F97D}"/>
            </a:ext>
          </a:extLst>
        </cdr:cNvPr>
        <cdr:cNvCxnSpPr/>
      </cdr:nvCxnSpPr>
      <cdr:spPr>
        <a:xfrm xmlns:a="http://schemas.openxmlformats.org/drawingml/2006/main">
          <a:off x="463062" y="948201"/>
          <a:ext cx="2339623" cy="0"/>
        </a:xfrm>
        <a:prstGeom xmlns:a="http://schemas.openxmlformats.org/drawingml/2006/main" prst="line">
          <a:avLst/>
        </a:prstGeom>
        <a:ln xmlns:a="http://schemas.openxmlformats.org/drawingml/2006/main" w="1587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0.11442</cdr:x>
      <cdr:y>0.44889</cdr:y>
    </cdr:from>
    <cdr:to>
      <cdr:x>0.5215</cdr:x>
      <cdr:y>0.55041</cdr:y>
    </cdr:to>
    <cdr:sp macro="" textlink="">
      <cdr:nvSpPr>
        <cdr:cNvPr id="17" name="TextBox 15">
          <a:extLst xmlns:a="http://schemas.openxmlformats.org/drawingml/2006/main">
            <a:ext uri="{FF2B5EF4-FFF2-40B4-BE49-F238E27FC236}">
              <a16:creationId xmlns:a16="http://schemas.microsoft.com/office/drawing/2014/main" id="{AB9EDC7C-4AEF-40D7-ABF4-E3E3A8D15517}"/>
            </a:ext>
          </a:extLst>
        </cdr:cNvPr>
        <cdr:cNvSpPr txBox="1"/>
      </cdr:nvSpPr>
      <cdr:spPr>
        <a:xfrm xmlns:a="http://schemas.openxmlformats.org/drawingml/2006/main">
          <a:off x="535549" y="1292714"/>
          <a:ext cx="1905301" cy="2923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Moderate Disporportionality</a:t>
          </a:r>
        </a:p>
      </cdr:txBody>
    </cdr:sp>
  </cdr:relSizeAnchor>
  <cdr:relSizeAnchor xmlns:cdr="http://schemas.openxmlformats.org/drawingml/2006/chartDrawing">
    <cdr:from>
      <cdr:x>0.10979</cdr:x>
      <cdr:y>0.23945</cdr:y>
    </cdr:from>
    <cdr:to>
      <cdr:x>0.47845</cdr:x>
      <cdr:y>0.32253</cdr:y>
    </cdr:to>
    <cdr:sp macro="" textlink="">
      <cdr:nvSpPr>
        <cdr:cNvPr id="18" name="TextBox 16">
          <a:extLst xmlns:a="http://schemas.openxmlformats.org/drawingml/2006/main">
            <a:ext uri="{FF2B5EF4-FFF2-40B4-BE49-F238E27FC236}">
              <a16:creationId xmlns:a16="http://schemas.microsoft.com/office/drawing/2014/main" id="{8A4CB37A-2E6C-4A95-8318-F984ECCA7AFD}"/>
            </a:ext>
          </a:extLst>
        </cdr:cNvPr>
        <cdr:cNvSpPr txBox="1"/>
      </cdr:nvSpPr>
      <cdr:spPr>
        <a:xfrm xmlns:a="http://schemas.openxmlformats.org/drawingml/2006/main">
          <a:off x="513862" y="689562"/>
          <a:ext cx="1725492" cy="2392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High Disporportionality</a:t>
          </a:r>
        </a:p>
      </cdr:txBody>
    </cdr:sp>
  </cdr:relSizeAnchor>
  <cdr:relSizeAnchor xmlns:cdr="http://schemas.openxmlformats.org/drawingml/2006/chartDrawing">
    <cdr:from>
      <cdr:x>0.11361</cdr:x>
      <cdr:y>0.34936</cdr:y>
    </cdr:from>
    <cdr:to>
      <cdr:x>0.11412</cdr:x>
      <cdr:y>0.54051</cdr:y>
    </cdr:to>
    <cdr:cxnSp macro="">
      <cdr:nvCxnSpPr>
        <cdr:cNvPr id="19" name="Straight Arrow Connector 18">
          <a:extLst xmlns:a="http://schemas.openxmlformats.org/drawingml/2006/main">
            <a:ext uri="{FF2B5EF4-FFF2-40B4-BE49-F238E27FC236}">
              <a16:creationId xmlns:a16="http://schemas.microsoft.com/office/drawing/2014/main" id="{97C59090-C9DF-4A84-B160-D4512939C864}"/>
            </a:ext>
          </a:extLst>
        </cdr:cNvPr>
        <cdr:cNvCxnSpPr/>
      </cdr:nvCxnSpPr>
      <cdr:spPr>
        <a:xfrm xmlns:a="http://schemas.openxmlformats.org/drawingml/2006/main" flipH="1">
          <a:off x="531740" y="1006084"/>
          <a:ext cx="2382" cy="550459"/>
        </a:xfrm>
        <a:prstGeom xmlns:a="http://schemas.openxmlformats.org/drawingml/2006/main" prst="straightConnector1">
          <a:avLst/>
        </a:prstGeom>
        <a:ln xmlns:a="http://schemas.openxmlformats.org/drawingml/2006/main" w="1270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0.11402</cdr:x>
      <cdr:y>0.22932</cdr:y>
    </cdr:from>
    <cdr:to>
      <cdr:x>0.11442</cdr:x>
      <cdr:y>0.31992</cdr:y>
    </cdr:to>
    <cdr:cxnSp macro="">
      <cdr:nvCxnSpPr>
        <cdr:cNvPr id="20" name="Straight Arrow Connector 19">
          <a:extLst xmlns:a="http://schemas.openxmlformats.org/drawingml/2006/main">
            <a:ext uri="{FF2B5EF4-FFF2-40B4-BE49-F238E27FC236}">
              <a16:creationId xmlns:a16="http://schemas.microsoft.com/office/drawing/2014/main" id="{26FC1628-2F58-4EEE-A7C5-A9A51EED26EB}"/>
            </a:ext>
          </a:extLst>
        </cdr:cNvPr>
        <cdr:cNvCxnSpPr/>
      </cdr:nvCxnSpPr>
      <cdr:spPr>
        <a:xfrm xmlns:a="http://schemas.openxmlformats.org/drawingml/2006/main">
          <a:off x="533645" y="660400"/>
          <a:ext cx="1906" cy="260889"/>
        </a:xfrm>
        <a:prstGeom xmlns:a="http://schemas.openxmlformats.org/drawingml/2006/main" prst="straightConnector1">
          <a:avLst/>
        </a:prstGeom>
        <a:ln xmlns:a="http://schemas.openxmlformats.org/drawingml/2006/main" w="12700">
          <a:solidFill>
            <a:schemeClr val="tx1"/>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0.10394</cdr:x>
      <cdr:y>0.55372</cdr:y>
    </cdr:from>
    <cdr:to>
      <cdr:x>0.60382</cdr:x>
      <cdr:y>0.55372</cdr:y>
    </cdr:to>
    <cdr:cxnSp macro="">
      <cdr:nvCxnSpPr>
        <cdr:cNvPr id="9" name="Straight Connector 8">
          <a:extLst xmlns:a="http://schemas.openxmlformats.org/drawingml/2006/main">
            <a:ext uri="{FF2B5EF4-FFF2-40B4-BE49-F238E27FC236}">
              <a16:creationId xmlns:a16="http://schemas.microsoft.com/office/drawing/2014/main" id="{E37ED36E-F8FB-4E47-8B36-593B278C7BE9}"/>
            </a:ext>
          </a:extLst>
        </cdr:cNvPr>
        <cdr:cNvCxnSpPr/>
      </cdr:nvCxnSpPr>
      <cdr:spPr>
        <a:xfrm xmlns:a="http://schemas.openxmlformats.org/drawingml/2006/main">
          <a:off x="486508" y="1594582"/>
          <a:ext cx="2339623" cy="0"/>
        </a:xfrm>
        <a:prstGeom xmlns:a="http://schemas.openxmlformats.org/drawingml/2006/main" prst="line">
          <a:avLst/>
        </a:prstGeom>
        <a:ln xmlns:a="http://schemas.openxmlformats.org/drawingml/2006/main" w="1587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0.10394</cdr:x>
      <cdr:y>0.32926</cdr:y>
    </cdr:from>
    <cdr:to>
      <cdr:x>0.60382</cdr:x>
      <cdr:y>0.32926</cdr:y>
    </cdr:to>
    <cdr:cxnSp macro="">
      <cdr:nvCxnSpPr>
        <cdr:cNvPr id="10" name="Straight Connector 9">
          <a:extLst xmlns:a="http://schemas.openxmlformats.org/drawingml/2006/main">
            <a:ext uri="{FF2B5EF4-FFF2-40B4-BE49-F238E27FC236}">
              <a16:creationId xmlns:a16="http://schemas.microsoft.com/office/drawing/2014/main" id="{B9A434A9-F465-4CD6-AD09-BEA9AA377DEC}"/>
            </a:ext>
          </a:extLst>
        </cdr:cNvPr>
        <cdr:cNvCxnSpPr/>
      </cdr:nvCxnSpPr>
      <cdr:spPr>
        <a:xfrm xmlns:a="http://schemas.openxmlformats.org/drawingml/2006/main">
          <a:off x="486508" y="948201"/>
          <a:ext cx="2339623" cy="0"/>
        </a:xfrm>
        <a:prstGeom xmlns:a="http://schemas.openxmlformats.org/drawingml/2006/main" prst="line">
          <a:avLst/>
        </a:prstGeom>
        <a:ln xmlns:a="http://schemas.openxmlformats.org/drawingml/2006/main" w="1587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0.11943</cdr:x>
      <cdr:y>0.44889</cdr:y>
    </cdr:from>
    <cdr:to>
      <cdr:x>0.52651</cdr:x>
      <cdr:y>0.55041</cdr:y>
    </cdr:to>
    <cdr:sp macro="" textlink="">
      <cdr:nvSpPr>
        <cdr:cNvPr id="11" name="TextBox 15">
          <a:extLst xmlns:a="http://schemas.openxmlformats.org/drawingml/2006/main">
            <a:ext uri="{FF2B5EF4-FFF2-40B4-BE49-F238E27FC236}">
              <a16:creationId xmlns:a16="http://schemas.microsoft.com/office/drawing/2014/main" id="{3D164598-3C53-4E54-AC14-0BFA5EA3E525}"/>
            </a:ext>
          </a:extLst>
        </cdr:cNvPr>
        <cdr:cNvSpPr txBox="1"/>
      </cdr:nvSpPr>
      <cdr:spPr>
        <a:xfrm xmlns:a="http://schemas.openxmlformats.org/drawingml/2006/main">
          <a:off x="558995" y="1292714"/>
          <a:ext cx="1905301" cy="2923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Moderate Disporportionality</a:t>
          </a:r>
        </a:p>
      </cdr:txBody>
    </cdr:sp>
  </cdr:relSizeAnchor>
  <cdr:relSizeAnchor xmlns:cdr="http://schemas.openxmlformats.org/drawingml/2006/chartDrawing">
    <cdr:from>
      <cdr:x>0.1148</cdr:x>
      <cdr:y>0.23945</cdr:y>
    </cdr:from>
    <cdr:to>
      <cdr:x>0.48346</cdr:x>
      <cdr:y>0.32253</cdr:y>
    </cdr:to>
    <cdr:sp macro="" textlink="">
      <cdr:nvSpPr>
        <cdr:cNvPr id="12" name="TextBox 16">
          <a:extLst xmlns:a="http://schemas.openxmlformats.org/drawingml/2006/main">
            <a:ext uri="{FF2B5EF4-FFF2-40B4-BE49-F238E27FC236}">
              <a16:creationId xmlns:a16="http://schemas.microsoft.com/office/drawing/2014/main" id="{FD0EBA32-74CF-4DEE-9D57-A371869E9A9D}"/>
            </a:ext>
          </a:extLst>
        </cdr:cNvPr>
        <cdr:cNvSpPr txBox="1"/>
      </cdr:nvSpPr>
      <cdr:spPr>
        <a:xfrm xmlns:a="http://schemas.openxmlformats.org/drawingml/2006/main">
          <a:off x="537308" y="689562"/>
          <a:ext cx="1725492" cy="2392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High Disporportionality</a:t>
          </a:r>
        </a:p>
      </cdr:txBody>
    </cdr:sp>
  </cdr:relSizeAnchor>
  <cdr:relSizeAnchor xmlns:cdr="http://schemas.openxmlformats.org/drawingml/2006/chartDrawing">
    <cdr:from>
      <cdr:x>0.11862</cdr:x>
      <cdr:y>0.34936</cdr:y>
    </cdr:from>
    <cdr:to>
      <cdr:x>0.11913</cdr:x>
      <cdr:y>0.54051</cdr:y>
    </cdr:to>
    <cdr:cxnSp macro="">
      <cdr:nvCxnSpPr>
        <cdr:cNvPr id="13" name="Straight Arrow Connector 12">
          <a:extLst xmlns:a="http://schemas.openxmlformats.org/drawingml/2006/main">
            <a:ext uri="{FF2B5EF4-FFF2-40B4-BE49-F238E27FC236}">
              <a16:creationId xmlns:a16="http://schemas.microsoft.com/office/drawing/2014/main" id="{EE29FED9-1A86-4ABB-A423-963B89C504C9}"/>
            </a:ext>
          </a:extLst>
        </cdr:cNvPr>
        <cdr:cNvCxnSpPr/>
      </cdr:nvCxnSpPr>
      <cdr:spPr>
        <a:xfrm xmlns:a="http://schemas.openxmlformats.org/drawingml/2006/main" flipH="1">
          <a:off x="555186" y="1006084"/>
          <a:ext cx="2382" cy="550459"/>
        </a:xfrm>
        <a:prstGeom xmlns:a="http://schemas.openxmlformats.org/drawingml/2006/main" prst="straightConnector1">
          <a:avLst/>
        </a:prstGeom>
        <a:ln xmlns:a="http://schemas.openxmlformats.org/drawingml/2006/main" w="1270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0.11903</cdr:x>
      <cdr:y>0.22932</cdr:y>
    </cdr:from>
    <cdr:to>
      <cdr:x>0.11943</cdr:x>
      <cdr:y>0.31992</cdr:y>
    </cdr:to>
    <cdr:cxnSp macro="">
      <cdr:nvCxnSpPr>
        <cdr:cNvPr id="14" name="Straight Arrow Connector 13">
          <a:extLst xmlns:a="http://schemas.openxmlformats.org/drawingml/2006/main">
            <a:ext uri="{FF2B5EF4-FFF2-40B4-BE49-F238E27FC236}">
              <a16:creationId xmlns:a16="http://schemas.microsoft.com/office/drawing/2014/main" id="{4CD33BBB-B4B0-42DC-BD27-449CC3770F53}"/>
            </a:ext>
          </a:extLst>
        </cdr:cNvPr>
        <cdr:cNvCxnSpPr/>
      </cdr:nvCxnSpPr>
      <cdr:spPr>
        <a:xfrm xmlns:a="http://schemas.openxmlformats.org/drawingml/2006/main">
          <a:off x="557091" y="660400"/>
          <a:ext cx="1906" cy="260889"/>
        </a:xfrm>
        <a:prstGeom xmlns:a="http://schemas.openxmlformats.org/drawingml/2006/main" prst="straightConnector1">
          <a:avLst/>
        </a:prstGeom>
        <a:ln xmlns:a="http://schemas.openxmlformats.org/drawingml/2006/main" w="12700">
          <a:solidFill>
            <a:schemeClr val="tx1"/>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c:userShapes xmlns:c="http://schemas.openxmlformats.org/drawingml/2006/chart">
  <cdr:relSizeAnchor xmlns:cdr="http://schemas.openxmlformats.org/drawingml/2006/chartDrawing">
    <cdr:from>
      <cdr:x>0.10021</cdr:x>
      <cdr:y>0.55327</cdr:y>
    </cdr:from>
    <cdr:to>
      <cdr:x>0.60021</cdr:x>
      <cdr:y>0.55327</cdr:y>
    </cdr:to>
    <cdr:cxnSp macro="">
      <cdr:nvCxnSpPr>
        <cdr:cNvPr id="9" name="Straight Connector 8">
          <a:extLst xmlns:a="http://schemas.openxmlformats.org/drawingml/2006/main">
            <a:ext uri="{FF2B5EF4-FFF2-40B4-BE49-F238E27FC236}">
              <a16:creationId xmlns:a16="http://schemas.microsoft.com/office/drawing/2014/main" id="{95DB5706-BD9A-4988-8BB4-D1FC4B7207A0}"/>
            </a:ext>
          </a:extLst>
        </cdr:cNvPr>
        <cdr:cNvCxnSpPr/>
      </cdr:nvCxnSpPr>
      <cdr:spPr>
        <a:xfrm xmlns:a="http://schemas.openxmlformats.org/drawingml/2006/main">
          <a:off x="468923" y="1594582"/>
          <a:ext cx="2339623" cy="0"/>
        </a:xfrm>
        <a:prstGeom xmlns:a="http://schemas.openxmlformats.org/drawingml/2006/main" prst="line">
          <a:avLst/>
        </a:prstGeom>
        <a:ln xmlns:a="http://schemas.openxmlformats.org/drawingml/2006/main" w="1587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0.10021</cdr:x>
      <cdr:y>0.32899</cdr:y>
    </cdr:from>
    <cdr:to>
      <cdr:x>0.60021</cdr:x>
      <cdr:y>0.32899</cdr:y>
    </cdr:to>
    <cdr:cxnSp macro="">
      <cdr:nvCxnSpPr>
        <cdr:cNvPr id="10" name="Straight Connector 9">
          <a:extLst xmlns:a="http://schemas.openxmlformats.org/drawingml/2006/main">
            <a:ext uri="{FF2B5EF4-FFF2-40B4-BE49-F238E27FC236}">
              <a16:creationId xmlns:a16="http://schemas.microsoft.com/office/drawing/2014/main" id="{DAECA7C8-1436-46F1-A6A8-3C30F2BB674D}"/>
            </a:ext>
          </a:extLst>
        </cdr:cNvPr>
        <cdr:cNvCxnSpPr/>
      </cdr:nvCxnSpPr>
      <cdr:spPr>
        <a:xfrm xmlns:a="http://schemas.openxmlformats.org/drawingml/2006/main">
          <a:off x="468923" y="948201"/>
          <a:ext cx="2339623" cy="0"/>
        </a:xfrm>
        <a:prstGeom xmlns:a="http://schemas.openxmlformats.org/drawingml/2006/main" prst="line">
          <a:avLst/>
        </a:prstGeom>
        <a:ln xmlns:a="http://schemas.openxmlformats.org/drawingml/2006/main" w="1587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0.15704</cdr:x>
      <cdr:y>0.42006</cdr:y>
    </cdr:from>
    <cdr:to>
      <cdr:x>0.56422</cdr:x>
      <cdr:y>0.52149</cdr:y>
    </cdr:to>
    <cdr:sp macro="" textlink="">
      <cdr:nvSpPr>
        <cdr:cNvPr id="11" name="TextBox 15">
          <a:extLst xmlns:a="http://schemas.openxmlformats.org/drawingml/2006/main">
            <a:ext uri="{FF2B5EF4-FFF2-40B4-BE49-F238E27FC236}">
              <a16:creationId xmlns:a16="http://schemas.microsoft.com/office/drawing/2014/main" id="{CEC6EAB4-BF96-4626-8F25-A11660982A41}"/>
            </a:ext>
          </a:extLst>
        </cdr:cNvPr>
        <cdr:cNvSpPr txBox="1"/>
      </cdr:nvSpPr>
      <cdr:spPr>
        <a:xfrm xmlns:a="http://schemas.openxmlformats.org/drawingml/2006/main">
          <a:off x="734841" y="1210652"/>
          <a:ext cx="1905301" cy="2923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Moderate Disporportionality</a:t>
          </a:r>
        </a:p>
      </cdr:txBody>
    </cdr:sp>
  </cdr:relSizeAnchor>
  <cdr:relSizeAnchor xmlns:cdr="http://schemas.openxmlformats.org/drawingml/2006/chartDrawing">
    <cdr:from>
      <cdr:x>0.15491</cdr:x>
      <cdr:y>0.22909</cdr:y>
    </cdr:from>
    <cdr:to>
      <cdr:x>0.52367</cdr:x>
      <cdr:y>0.3121</cdr:y>
    </cdr:to>
    <cdr:sp macro="" textlink="">
      <cdr:nvSpPr>
        <cdr:cNvPr id="12" name="TextBox 16">
          <a:extLst xmlns:a="http://schemas.openxmlformats.org/drawingml/2006/main">
            <a:ext uri="{FF2B5EF4-FFF2-40B4-BE49-F238E27FC236}">
              <a16:creationId xmlns:a16="http://schemas.microsoft.com/office/drawing/2014/main" id="{631BF35A-065E-4FF5-8204-461BB69EC2E9}"/>
            </a:ext>
          </a:extLst>
        </cdr:cNvPr>
        <cdr:cNvSpPr txBox="1"/>
      </cdr:nvSpPr>
      <cdr:spPr>
        <a:xfrm xmlns:a="http://schemas.openxmlformats.org/drawingml/2006/main">
          <a:off x="724876" y="660255"/>
          <a:ext cx="1725492" cy="23926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High Disporportionality</a:t>
          </a:r>
        </a:p>
      </cdr:txBody>
    </cdr:sp>
  </cdr:relSizeAnchor>
  <cdr:relSizeAnchor xmlns:cdr="http://schemas.openxmlformats.org/drawingml/2006/chartDrawing">
    <cdr:from>
      <cdr:x>0.11489</cdr:x>
      <cdr:y>0.34908</cdr:y>
    </cdr:from>
    <cdr:to>
      <cdr:x>0.1154</cdr:x>
      <cdr:y>0.54007</cdr:y>
    </cdr:to>
    <cdr:cxnSp macro="">
      <cdr:nvCxnSpPr>
        <cdr:cNvPr id="13" name="Straight Arrow Connector 12">
          <a:extLst xmlns:a="http://schemas.openxmlformats.org/drawingml/2006/main">
            <a:ext uri="{FF2B5EF4-FFF2-40B4-BE49-F238E27FC236}">
              <a16:creationId xmlns:a16="http://schemas.microsoft.com/office/drawing/2014/main" id="{5E608462-1B38-4C37-B8EE-1D1B5E7BE356}"/>
            </a:ext>
          </a:extLst>
        </cdr:cNvPr>
        <cdr:cNvCxnSpPr/>
      </cdr:nvCxnSpPr>
      <cdr:spPr>
        <a:xfrm xmlns:a="http://schemas.openxmlformats.org/drawingml/2006/main" flipH="1">
          <a:off x="537601" y="1006084"/>
          <a:ext cx="2382" cy="550459"/>
        </a:xfrm>
        <a:prstGeom xmlns:a="http://schemas.openxmlformats.org/drawingml/2006/main" prst="straightConnector1">
          <a:avLst/>
        </a:prstGeom>
        <a:ln xmlns:a="http://schemas.openxmlformats.org/drawingml/2006/main" w="1270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0.1153</cdr:x>
      <cdr:y>0.22914</cdr:y>
    </cdr:from>
    <cdr:to>
      <cdr:x>0.1157</cdr:x>
      <cdr:y>0.31966</cdr:y>
    </cdr:to>
    <cdr:cxnSp macro="">
      <cdr:nvCxnSpPr>
        <cdr:cNvPr id="14" name="Straight Arrow Connector 13">
          <a:extLst xmlns:a="http://schemas.openxmlformats.org/drawingml/2006/main">
            <a:ext uri="{FF2B5EF4-FFF2-40B4-BE49-F238E27FC236}">
              <a16:creationId xmlns:a16="http://schemas.microsoft.com/office/drawing/2014/main" id="{080A95B4-9058-4E84-AD62-584854150236}"/>
            </a:ext>
          </a:extLst>
        </cdr:cNvPr>
        <cdr:cNvCxnSpPr/>
      </cdr:nvCxnSpPr>
      <cdr:spPr>
        <a:xfrm xmlns:a="http://schemas.openxmlformats.org/drawingml/2006/main">
          <a:off x="539506" y="660400"/>
          <a:ext cx="1906" cy="260889"/>
        </a:xfrm>
        <a:prstGeom xmlns:a="http://schemas.openxmlformats.org/drawingml/2006/main" prst="straightConnector1">
          <a:avLst/>
        </a:prstGeom>
        <a:ln xmlns:a="http://schemas.openxmlformats.org/drawingml/2006/main" w="12700">
          <a:solidFill>
            <a:schemeClr val="tx1"/>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0.09945</cdr:x>
      <cdr:y>0.63778</cdr:y>
    </cdr:from>
    <cdr:to>
      <cdr:x>0.59945</cdr:x>
      <cdr:y>0.63778</cdr:y>
    </cdr:to>
    <cdr:cxnSp macro="">
      <cdr:nvCxnSpPr>
        <cdr:cNvPr id="9" name="Straight Connector 8">
          <a:extLst xmlns:a="http://schemas.openxmlformats.org/drawingml/2006/main">
            <a:ext uri="{FF2B5EF4-FFF2-40B4-BE49-F238E27FC236}">
              <a16:creationId xmlns:a16="http://schemas.microsoft.com/office/drawing/2014/main" id="{6D920074-2ECB-484D-8E62-514407470B72}"/>
            </a:ext>
          </a:extLst>
        </cdr:cNvPr>
        <cdr:cNvCxnSpPr/>
      </cdr:nvCxnSpPr>
      <cdr:spPr>
        <a:xfrm xmlns:a="http://schemas.openxmlformats.org/drawingml/2006/main">
          <a:off x="465167" y="1804879"/>
          <a:ext cx="2338795" cy="0"/>
        </a:xfrm>
        <a:prstGeom xmlns:a="http://schemas.openxmlformats.org/drawingml/2006/main" prst="line">
          <a:avLst/>
        </a:prstGeom>
        <a:ln xmlns:a="http://schemas.openxmlformats.org/drawingml/2006/main" w="1587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0.10027</cdr:x>
      <cdr:y>0.47192</cdr:y>
    </cdr:from>
    <cdr:to>
      <cdr:x>0.60027</cdr:x>
      <cdr:y>0.47192</cdr:y>
    </cdr:to>
    <cdr:cxnSp macro="">
      <cdr:nvCxnSpPr>
        <cdr:cNvPr id="10" name="Straight Connector 9">
          <a:extLst xmlns:a="http://schemas.openxmlformats.org/drawingml/2006/main">
            <a:ext uri="{FF2B5EF4-FFF2-40B4-BE49-F238E27FC236}">
              <a16:creationId xmlns:a16="http://schemas.microsoft.com/office/drawing/2014/main" id="{2995B336-D3F1-4E2F-8383-214CCCD30F6E}"/>
            </a:ext>
          </a:extLst>
        </cdr:cNvPr>
        <cdr:cNvCxnSpPr/>
      </cdr:nvCxnSpPr>
      <cdr:spPr>
        <a:xfrm xmlns:a="http://schemas.openxmlformats.org/drawingml/2006/main">
          <a:off x="470417" y="1344919"/>
          <a:ext cx="2345840" cy="0"/>
        </a:xfrm>
        <a:prstGeom xmlns:a="http://schemas.openxmlformats.org/drawingml/2006/main" prst="line">
          <a:avLst/>
        </a:prstGeom>
        <a:ln xmlns:a="http://schemas.openxmlformats.org/drawingml/2006/main" w="15875">
          <a:solidFill>
            <a:schemeClr val="tx1"/>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0.15436</cdr:x>
      <cdr:y>0.54594</cdr:y>
    </cdr:from>
    <cdr:to>
      <cdr:x>0.56154</cdr:x>
      <cdr:y>0.64737</cdr:y>
    </cdr:to>
    <cdr:sp macro="" textlink="">
      <cdr:nvSpPr>
        <cdr:cNvPr id="11" name="TextBox 15">
          <a:extLst xmlns:a="http://schemas.openxmlformats.org/drawingml/2006/main">
            <a:ext uri="{FF2B5EF4-FFF2-40B4-BE49-F238E27FC236}">
              <a16:creationId xmlns:a16="http://schemas.microsoft.com/office/drawing/2014/main" id="{FB1ED265-B1F2-434F-8684-9836A634C90B}"/>
            </a:ext>
          </a:extLst>
        </cdr:cNvPr>
        <cdr:cNvSpPr txBox="1"/>
      </cdr:nvSpPr>
      <cdr:spPr>
        <a:xfrm xmlns:a="http://schemas.openxmlformats.org/drawingml/2006/main">
          <a:off x="722020" y="1544974"/>
          <a:ext cx="1904622" cy="2870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Moderate Disporportionality</a:t>
          </a:r>
        </a:p>
      </cdr:txBody>
    </cdr:sp>
  </cdr:relSizeAnchor>
  <cdr:relSizeAnchor xmlns:cdr="http://schemas.openxmlformats.org/drawingml/2006/chartDrawing">
    <cdr:from>
      <cdr:x>0.15348</cdr:x>
      <cdr:y>0.38642</cdr:y>
    </cdr:from>
    <cdr:to>
      <cdr:x>0.52223</cdr:x>
      <cdr:y>0.46943</cdr:y>
    </cdr:to>
    <cdr:sp macro="" textlink="">
      <cdr:nvSpPr>
        <cdr:cNvPr id="12" name="TextBox 16">
          <a:extLst xmlns:a="http://schemas.openxmlformats.org/drawingml/2006/main">
            <a:ext uri="{FF2B5EF4-FFF2-40B4-BE49-F238E27FC236}">
              <a16:creationId xmlns:a16="http://schemas.microsoft.com/office/drawing/2014/main" id="{74D6C18E-4089-4A5A-8ECB-25897437CBD4}"/>
            </a:ext>
          </a:extLst>
        </cdr:cNvPr>
        <cdr:cNvSpPr txBox="1"/>
      </cdr:nvSpPr>
      <cdr:spPr>
        <a:xfrm xmlns:a="http://schemas.openxmlformats.org/drawingml/2006/main">
          <a:off x="720082" y="1101262"/>
          <a:ext cx="1730056" cy="23656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High Disporportionality</a:t>
          </a:r>
        </a:p>
      </cdr:txBody>
    </cdr:sp>
  </cdr:relSizeAnchor>
  <cdr:relSizeAnchor xmlns:cdr="http://schemas.openxmlformats.org/drawingml/2006/chartDrawing">
    <cdr:from>
      <cdr:x>0.11054</cdr:x>
      <cdr:y>0.47452</cdr:y>
    </cdr:from>
    <cdr:to>
      <cdr:x>0.11083</cdr:x>
      <cdr:y>0.63441</cdr:y>
    </cdr:to>
    <cdr:cxnSp macro="">
      <cdr:nvCxnSpPr>
        <cdr:cNvPr id="13" name="Straight Arrow Connector 12">
          <a:extLst xmlns:a="http://schemas.openxmlformats.org/drawingml/2006/main">
            <a:ext uri="{FF2B5EF4-FFF2-40B4-BE49-F238E27FC236}">
              <a16:creationId xmlns:a16="http://schemas.microsoft.com/office/drawing/2014/main" id="{FAC94200-8158-4813-9915-BD24C2D69A6D}"/>
            </a:ext>
          </a:extLst>
        </cdr:cNvPr>
        <cdr:cNvCxnSpPr/>
      </cdr:nvCxnSpPr>
      <cdr:spPr>
        <a:xfrm xmlns:a="http://schemas.openxmlformats.org/drawingml/2006/main">
          <a:off x="518609" y="1352326"/>
          <a:ext cx="1356" cy="455675"/>
        </a:xfrm>
        <a:prstGeom xmlns:a="http://schemas.openxmlformats.org/drawingml/2006/main" prst="straightConnector1">
          <a:avLst/>
        </a:prstGeom>
        <a:ln xmlns:a="http://schemas.openxmlformats.org/drawingml/2006/main" w="12700">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0.10949</cdr:x>
      <cdr:y>0.37599</cdr:y>
    </cdr:from>
    <cdr:to>
      <cdr:x>0.1099</cdr:x>
      <cdr:y>0.46651</cdr:y>
    </cdr:to>
    <cdr:cxnSp macro="">
      <cdr:nvCxnSpPr>
        <cdr:cNvPr id="14" name="Straight Arrow Connector 13">
          <a:extLst xmlns:a="http://schemas.openxmlformats.org/drawingml/2006/main">
            <a:ext uri="{FF2B5EF4-FFF2-40B4-BE49-F238E27FC236}">
              <a16:creationId xmlns:a16="http://schemas.microsoft.com/office/drawing/2014/main" id="{DEA35C0A-0916-4AE1-A3C2-BEA9E1CC1699}"/>
            </a:ext>
          </a:extLst>
        </cdr:cNvPr>
        <cdr:cNvCxnSpPr/>
      </cdr:nvCxnSpPr>
      <cdr:spPr>
        <a:xfrm xmlns:a="http://schemas.openxmlformats.org/drawingml/2006/main">
          <a:off x="513679" y="1071536"/>
          <a:ext cx="1924" cy="257970"/>
        </a:xfrm>
        <a:prstGeom xmlns:a="http://schemas.openxmlformats.org/drawingml/2006/main" prst="straightConnector1">
          <a:avLst/>
        </a:prstGeom>
        <a:ln xmlns:a="http://schemas.openxmlformats.org/drawingml/2006/main" w="12700">
          <a:solidFill>
            <a:schemeClr val="tx1"/>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1"/>
  <sheetViews>
    <sheetView tabSelected="1" workbookViewId="0">
      <selection activeCell="C15" sqref="C15"/>
    </sheetView>
  </sheetViews>
  <sheetFormatPr defaultRowHeight="13.2" x14ac:dyDescent="0.25"/>
  <cols>
    <col min="2" max="3" width="13" customWidth="1"/>
    <col min="4" max="4" width="16.6640625" customWidth="1"/>
    <col min="5" max="5" width="16.44140625" customWidth="1"/>
    <col min="6" max="6" width="15" customWidth="1"/>
    <col min="7" max="7" width="13.44140625" customWidth="1"/>
    <col min="18" max="18" width="13.88671875" customWidth="1"/>
    <col min="19" max="19" width="14" customWidth="1"/>
    <col min="20" max="20" width="18.6640625" customWidth="1"/>
    <col min="21" max="21" width="12.5546875" customWidth="1"/>
    <col min="29" max="29" width="12.88671875" customWidth="1"/>
    <col min="30" max="30" width="10.6640625" customWidth="1"/>
    <col min="31" max="31" width="14.33203125" customWidth="1"/>
    <col min="32" max="32" width="12.6640625" customWidth="1"/>
    <col min="35" max="35" width="13.33203125" customWidth="1"/>
    <col min="36" max="36" width="13.5546875" customWidth="1"/>
    <col min="37" max="37" width="15" customWidth="1"/>
    <col min="38" max="38" width="15.88671875" customWidth="1"/>
  </cols>
  <sheetData>
    <row r="1" spans="1:7" x14ac:dyDescent="0.25">
      <c r="A1" s="1" t="s">
        <v>22</v>
      </c>
    </row>
    <row r="3" spans="1:7" x14ac:dyDescent="0.25">
      <c r="B3" s="1" t="s">
        <v>21</v>
      </c>
      <c r="C3" s="1"/>
    </row>
    <row r="5" spans="1:7" x14ac:dyDescent="0.25">
      <c r="C5" t="s">
        <v>115</v>
      </c>
      <c r="D5" t="s">
        <v>5</v>
      </c>
      <c r="E5" t="s">
        <v>6</v>
      </c>
      <c r="F5" t="s">
        <v>7</v>
      </c>
      <c r="G5" t="s">
        <v>8</v>
      </c>
    </row>
    <row r="6" spans="1:7" x14ac:dyDescent="0.25">
      <c r="B6" t="s">
        <v>47</v>
      </c>
      <c r="D6" s="6">
        <v>0.06</v>
      </c>
      <c r="E6" s="6">
        <v>6.5500000000000003E-2</v>
      </c>
      <c r="F6" s="6">
        <v>1.9699999999999999E-2</v>
      </c>
      <c r="G6" s="6">
        <v>6.9999999999999999E-4</v>
      </c>
    </row>
    <row r="7" spans="1:7" x14ac:dyDescent="0.25">
      <c r="B7" t="s">
        <v>0</v>
      </c>
      <c r="D7" s="5">
        <v>5.21E-2</v>
      </c>
      <c r="E7" s="5">
        <v>6.1900000000000004E-2</v>
      </c>
      <c r="F7" s="5">
        <v>1.8600000000000002E-2</v>
      </c>
      <c r="G7" s="5">
        <v>5.0000000000000001E-4</v>
      </c>
    </row>
    <row r="8" spans="1:7" x14ac:dyDescent="0.25">
      <c r="B8" t="s">
        <v>19</v>
      </c>
      <c r="D8" s="5">
        <v>4.5400000000000003E-2</v>
      </c>
      <c r="E8" s="5">
        <v>5.8200000000000002E-2</v>
      </c>
      <c r="F8" s="5">
        <v>1.83E-2</v>
      </c>
      <c r="G8" s="5">
        <v>5.0000000000000001E-4</v>
      </c>
    </row>
    <row r="9" spans="1:7" x14ac:dyDescent="0.25">
      <c r="B9" t="s">
        <v>20</v>
      </c>
      <c r="D9" s="5">
        <v>4.2999999999999997E-2</v>
      </c>
      <c r="E9" s="5">
        <v>5.1399999999999994E-2</v>
      </c>
      <c r="F9" s="5">
        <v>1.41E-2</v>
      </c>
      <c r="G9" s="5">
        <v>4.0000000000000002E-4</v>
      </c>
    </row>
    <row r="10" spans="1:7" x14ac:dyDescent="0.25">
      <c r="B10" t="s">
        <v>18</v>
      </c>
      <c r="C10" s="5">
        <f>6285/91402</f>
        <v>6.8762171506093955E-2</v>
      </c>
      <c r="D10" s="5">
        <f>3436/91402</f>
        <v>3.7592175225925034E-2</v>
      </c>
      <c r="E10" s="5">
        <f>4148/91402</f>
        <v>4.5381939126058514E-2</v>
      </c>
      <c r="F10" s="5">
        <f>1256/91402</f>
        <v>1.3741493621583773E-2</v>
      </c>
      <c r="G10" s="5">
        <f>32/91402</f>
        <v>3.5010174832060569E-4</v>
      </c>
    </row>
    <row r="11" spans="1:7" x14ac:dyDescent="0.25">
      <c r="B11" t="s">
        <v>116</v>
      </c>
      <c r="C11" s="5">
        <f>5761/90480</f>
        <v>6.3671529619805475E-2</v>
      </c>
      <c r="D11" s="5">
        <f>3202/90480</f>
        <v>3.5389036251105219E-2</v>
      </c>
      <c r="E11" s="5">
        <f>3864/90480</f>
        <v>4.2705570291777191E-2</v>
      </c>
      <c r="F11" s="5">
        <f>1213/90480</f>
        <v>1.3406277630415561E-2</v>
      </c>
      <c r="G11" s="5">
        <f>29/90480</f>
        <v>3.2051282051282051E-4</v>
      </c>
    </row>
    <row r="12" spans="1:7" x14ac:dyDescent="0.25">
      <c r="B12" t="s">
        <v>117</v>
      </c>
      <c r="C12" s="5">
        <f>5421/89737</f>
        <v>6.0409864381470293E-2</v>
      </c>
      <c r="D12" s="5">
        <f>3144/89737</f>
        <v>3.5035715479679506E-2</v>
      </c>
      <c r="E12" s="5">
        <f>3560/89737</f>
        <v>3.9671484449000968E-2</v>
      </c>
      <c r="F12" s="5">
        <f>1117/89737</f>
        <v>1.2447485429644405E-2</v>
      </c>
      <c r="G12" s="5">
        <f>44/89737</f>
        <v>4.9032171790900074E-4</v>
      </c>
    </row>
    <row r="13" spans="1:7" x14ac:dyDescent="0.25">
      <c r="B13" t="s">
        <v>118</v>
      </c>
      <c r="C13" s="5">
        <f>5431/89162</f>
        <v>6.0911599111729213E-2</v>
      </c>
      <c r="D13" s="5">
        <f>3362/89162</f>
        <v>3.7706646329153673E-2</v>
      </c>
      <c r="E13" s="5">
        <f>3210/89162</f>
        <v>3.6001884210762433E-2</v>
      </c>
      <c r="F13" s="5">
        <f>1105/89162</f>
        <v>1.2393171979094232E-2</v>
      </c>
      <c r="G13" s="5">
        <f>44/89162</f>
        <v>4.9348377111325449E-4</v>
      </c>
    </row>
    <row r="14" spans="1:7" x14ac:dyDescent="0.25">
      <c r="B14" t="s">
        <v>119</v>
      </c>
      <c r="C14" s="5">
        <v>6.0934116919270025E-2</v>
      </c>
      <c r="D14" s="5">
        <v>4.1470483784124365E-2</v>
      </c>
      <c r="E14" s="5">
        <v>3.4654202609661934E-2</v>
      </c>
      <c r="F14" s="5">
        <v>1.1100800769838815E-2</v>
      </c>
      <c r="G14" s="5">
        <v>3.207661729158791E-4</v>
      </c>
    </row>
    <row r="15" spans="1:7" x14ac:dyDescent="0.25">
      <c r="B15" t="s">
        <v>120</v>
      </c>
      <c r="C15" s="5">
        <v>5.7603041683189103E-2</v>
      </c>
      <c r="D15" s="5">
        <v>3.9455576030416835E-2</v>
      </c>
      <c r="E15" s="5">
        <v>3.174640199668774E-2</v>
      </c>
      <c r="F15" s="5">
        <v>1.0869818758601386E-2</v>
      </c>
      <c r="G15" s="5">
        <v>3.7321266123953257E-4</v>
      </c>
    </row>
    <row r="17" spans="2:7" x14ac:dyDescent="0.25">
      <c r="B17" s="4" t="s">
        <v>32</v>
      </c>
      <c r="C17" s="4"/>
    </row>
    <row r="18" spans="2:7" x14ac:dyDescent="0.25">
      <c r="B18" t="s">
        <v>9</v>
      </c>
    </row>
    <row r="20" spans="2:7" x14ac:dyDescent="0.25">
      <c r="B20" s="4" t="s">
        <v>23</v>
      </c>
      <c r="C20" s="4"/>
    </row>
    <row r="21" spans="2:7" x14ac:dyDescent="0.25">
      <c r="B21" t="s">
        <v>44</v>
      </c>
    </row>
    <row r="24" spans="2:7" x14ac:dyDescent="0.25">
      <c r="B24" s="1" t="s">
        <v>99</v>
      </c>
      <c r="C24" s="1"/>
    </row>
    <row r="26" spans="2:7" x14ac:dyDescent="0.25">
      <c r="C26" t="s">
        <v>115</v>
      </c>
      <c r="D26" t="s">
        <v>5</v>
      </c>
      <c r="E26" t="s">
        <v>6</v>
      </c>
      <c r="F26" t="s">
        <v>7</v>
      </c>
      <c r="G26" t="s">
        <v>8</v>
      </c>
    </row>
    <row r="27" spans="2:7" x14ac:dyDescent="0.25">
      <c r="B27" t="s">
        <v>47</v>
      </c>
      <c r="D27" s="5">
        <v>0.2162</v>
      </c>
      <c r="E27" s="5">
        <v>7.1800000000000003E-2</v>
      </c>
      <c r="F27" s="5">
        <v>4.0099999999999997E-2</v>
      </c>
      <c r="G27" s="5"/>
    </row>
    <row r="28" spans="2:7" x14ac:dyDescent="0.25">
      <c r="B28" t="s">
        <v>0</v>
      </c>
      <c r="D28" s="5">
        <v>0.20910000000000001</v>
      </c>
      <c r="E28" s="5">
        <v>5.7700000000000001E-2</v>
      </c>
      <c r="F28" s="5">
        <v>3.5000000000000003E-2</v>
      </c>
      <c r="G28" s="5">
        <v>0</v>
      </c>
    </row>
    <row r="29" spans="2:7" x14ac:dyDescent="0.25">
      <c r="B29" t="s">
        <v>19</v>
      </c>
      <c r="D29" s="5">
        <v>0.18099999999999999</v>
      </c>
      <c r="E29" s="5">
        <v>4.8099999999999997E-2</v>
      </c>
      <c r="F29" s="5">
        <v>2.81E-2</v>
      </c>
      <c r="G29" s="5"/>
    </row>
    <row r="30" spans="2:7" x14ac:dyDescent="0.25">
      <c r="B30" t="s">
        <v>20</v>
      </c>
      <c r="D30" s="5">
        <v>0.16880000000000001</v>
      </c>
      <c r="E30" s="5">
        <v>5.8599999999999999E-2</v>
      </c>
      <c r="F30" s="5">
        <v>2.98E-2</v>
      </c>
      <c r="G30" s="5"/>
    </row>
    <row r="31" spans="2:7" x14ac:dyDescent="0.25">
      <c r="B31" t="s">
        <v>18</v>
      </c>
      <c r="C31" s="5">
        <f>2803/12949</f>
        <v>0.21646459186037531</v>
      </c>
      <c r="D31" s="5">
        <f>2466/12949</f>
        <v>0.19043941617113291</v>
      </c>
      <c r="E31" s="5">
        <v>7.2400000000000006E-2</v>
      </c>
      <c r="F31" s="5">
        <v>3.2500000000000001E-2</v>
      </c>
      <c r="G31" s="5"/>
    </row>
    <row r="32" spans="2:7" x14ac:dyDescent="0.25">
      <c r="B32" t="s">
        <v>116</v>
      </c>
      <c r="C32" s="5">
        <f>2542/12941</f>
        <v>0.19642995131751798</v>
      </c>
      <c r="D32" s="5">
        <f>2280/12941</f>
        <v>0.17618422069391856</v>
      </c>
      <c r="E32" s="5">
        <f>863/12941</f>
        <v>6.6687273008268294E-2</v>
      </c>
      <c r="F32" s="5">
        <f>429/12941</f>
        <v>3.3150452051618887E-2</v>
      </c>
      <c r="G32" s="5">
        <v>5.4091646704273237E-6</v>
      </c>
    </row>
    <row r="33" spans="2:7" x14ac:dyDescent="0.25">
      <c r="B33" t="s">
        <v>117</v>
      </c>
      <c r="C33" s="5">
        <f>2020/12759</f>
        <v>0.15831961752488438</v>
      </c>
      <c r="D33" s="5">
        <f>1821/12759</f>
        <v>0.14272278391723489</v>
      </c>
      <c r="E33" s="5">
        <f>709/12759</f>
        <v>5.5568618230268832E-2</v>
      </c>
      <c r="F33" s="5">
        <f>234/12759</f>
        <v>1.8339995297437104E-2</v>
      </c>
      <c r="G33" s="5">
        <f>5/12759</f>
        <v>3.9188024139822871E-4</v>
      </c>
    </row>
    <row r="34" spans="2:7" x14ac:dyDescent="0.25">
      <c r="B34" t="s">
        <v>118</v>
      </c>
      <c r="C34" s="5">
        <f>2069/12509</f>
        <v>0.16540091134383245</v>
      </c>
      <c r="D34" s="5">
        <f>1865/12509</f>
        <v>0.14909265328963148</v>
      </c>
      <c r="E34" s="5">
        <f>721/12509</f>
        <v>5.7638500279798548E-2</v>
      </c>
      <c r="F34" s="5">
        <f>227/12509</f>
        <v>1.8146934207370694E-2</v>
      </c>
      <c r="G34" s="5">
        <f>5/12509</f>
        <v>3.9971220721080823E-4</v>
      </c>
    </row>
    <row r="35" spans="2:7" x14ac:dyDescent="0.25">
      <c r="B35" t="s">
        <v>119</v>
      </c>
      <c r="C35" s="5">
        <v>0.1520767292530277</v>
      </c>
      <c r="D35" s="5">
        <v>0.13159392018206942</v>
      </c>
      <c r="E35" s="5">
        <v>5.657156791026579E-2</v>
      </c>
      <c r="F35" s="5">
        <v>1.885718930342193E-2</v>
      </c>
      <c r="G35" s="5">
        <v>9.7537186052182399E-4</v>
      </c>
    </row>
    <row r="36" spans="2:7" x14ac:dyDescent="0.25">
      <c r="B36" t="s">
        <v>120</v>
      </c>
      <c r="C36" s="5">
        <v>0.11268781302170283</v>
      </c>
      <c r="D36" s="5">
        <v>8.5642737896494153E-2</v>
      </c>
      <c r="E36" s="5">
        <v>4.9666110183639402E-2</v>
      </c>
      <c r="F36" s="5">
        <v>2.2454090150250416E-2</v>
      </c>
      <c r="G36" s="5">
        <v>1.7529215358931553E-3</v>
      </c>
    </row>
    <row r="37" spans="2:7" x14ac:dyDescent="0.25">
      <c r="C37" s="5"/>
      <c r="D37" s="5"/>
      <c r="E37" s="5"/>
      <c r="F37" s="5"/>
      <c r="G37" s="5"/>
    </row>
    <row r="39" spans="2:7" x14ac:dyDescent="0.25">
      <c r="B39" s="1" t="s">
        <v>105</v>
      </c>
      <c r="C39" s="1"/>
    </row>
    <row r="41" spans="2:7" x14ac:dyDescent="0.25">
      <c r="C41" t="s">
        <v>115</v>
      </c>
      <c r="D41" t="s">
        <v>5</v>
      </c>
      <c r="E41" t="s">
        <v>6</v>
      </c>
      <c r="F41" t="s">
        <v>7</v>
      </c>
      <c r="G41" t="s">
        <v>8</v>
      </c>
    </row>
    <row r="42" spans="2:7" x14ac:dyDescent="0.25">
      <c r="B42" t="s">
        <v>47</v>
      </c>
      <c r="D42" s="5">
        <v>2.8000000000000001E-2</v>
      </c>
      <c r="E42" s="5">
        <v>1.46E-2</v>
      </c>
      <c r="F42" s="5">
        <v>4.4000000000000003E-3</v>
      </c>
      <c r="G42" s="5">
        <v>0</v>
      </c>
    </row>
    <row r="43" spans="2:7" x14ac:dyDescent="0.25">
      <c r="B43" t="s">
        <v>0</v>
      </c>
      <c r="D43" s="5">
        <v>2.3900000000000001E-2</v>
      </c>
      <c r="E43" s="5">
        <v>1.7399999999999999E-2</v>
      </c>
      <c r="F43" s="5">
        <v>7.4999999999999997E-3</v>
      </c>
      <c r="G43" s="5"/>
    </row>
    <row r="44" spans="2:7" x14ac:dyDescent="0.25">
      <c r="B44" t="s">
        <v>19</v>
      </c>
      <c r="D44" s="5">
        <v>2.7400000000000001E-2</v>
      </c>
      <c r="E44" s="5">
        <v>1.32E-2</v>
      </c>
      <c r="F44" s="5">
        <v>5.7999999999999996E-3</v>
      </c>
      <c r="G44" s="5"/>
    </row>
    <row r="45" spans="2:7" x14ac:dyDescent="0.25">
      <c r="B45" t="s">
        <v>20</v>
      </c>
      <c r="D45" s="5">
        <v>2.3699999999999999E-2</v>
      </c>
      <c r="E45" s="5">
        <v>0.01</v>
      </c>
      <c r="F45" s="5">
        <v>3.8999999999999998E-3</v>
      </c>
      <c r="G45" s="5">
        <v>0</v>
      </c>
    </row>
    <row r="46" spans="2:7" x14ac:dyDescent="0.25">
      <c r="B46" t="s">
        <v>18</v>
      </c>
      <c r="D46" s="5">
        <v>1.9E-2</v>
      </c>
      <c r="E46" s="5">
        <v>5.3E-3</v>
      </c>
      <c r="F46" s="5">
        <v>4.7000000000000002E-3</v>
      </c>
      <c r="G46" s="5">
        <v>0</v>
      </c>
    </row>
    <row r="47" spans="2:7" x14ac:dyDescent="0.25">
      <c r="B47" t="s">
        <v>116</v>
      </c>
      <c r="C47" s="5">
        <f>229/8110</f>
        <v>2.8236744759556103E-2</v>
      </c>
      <c r="D47" s="5">
        <f>186/8110</f>
        <v>2.2934648581997535E-2</v>
      </c>
      <c r="E47" s="5">
        <f>55/8110</f>
        <v>6.7817509247842167E-3</v>
      </c>
      <c r="F47" s="5">
        <f>32/8110</f>
        <v>3.9457459926017261E-3</v>
      </c>
      <c r="G47" s="5"/>
    </row>
    <row r="48" spans="2:7" x14ac:dyDescent="0.25">
      <c r="B48" t="s">
        <v>117</v>
      </c>
      <c r="C48" s="5">
        <f>209/8218</f>
        <v>2.5431978583596981E-2</v>
      </c>
      <c r="D48" s="5">
        <f>172/8218</f>
        <v>2.0929666585543929E-2</v>
      </c>
      <c r="E48" s="5">
        <f>68/8218</f>
        <v>8.2745193477731811E-3</v>
      </c>
      <c r="F48" s="5">
        <f>38/8218</f>
        <v>4.6239961061085421E-3</v>
      </c>
      <c r="G48" s="5"/>
    </row>
    <row r="49" spans="2:7" x14ac:dyDescent="0.25">
      <c r="B49" t="s">
        <v>118</v>
      </c>
      <c r="C49" s="5">
        <v>2.7526258601955813E-2</v>
      </c>
      <c r="D49" s="5">
        <v>2.3662924061330436E-2</v>
      </c>
      <c r="E49" s="5">
        <v>7.7266690812507546E-3</v>
      </c>
      <c r="F49" s="5">
        <v>3.2596885186526622E-3</v>
      </c>
    </row>
    <row r="50" spans="2:7" x14ac:dyDescent="0.25">
      <c r="B50" t="s">
        <v>119</v>
      </c>
      <c r="C50" s="5">
        <v>3.1033223804308143E-2</v>
      </c>
      <c r="D50" s="5">
        <v>2.6895460630400391E-2</v>
      </c>
      <c r="E50" s="5">
        <v>8.7623220153340634E-3</v>
      </c>
      <c r="F50" s="5">
        <v>3.2858707557502738E-3</v>
      </c>
      <c r="G50" s="5"/>
    </row>
    <row r="51" spans="2:7" x14ac:dyDescent="0.25">
      <c r="B51" t="s">
        <v>120</v>
      </c>
      <c r="C51" s="5">
        <v>2.6906370656370655E-2</v>
      </c>
      <c r="D51" s="5">
        <v>2.3166023166023165E-2</v>
      </c>
      <c r="E51" s="5">
        <v>6.0328185328185329E-3</v>
      </c>
      <c r="F51" s="5">
        <v>2.5337837837837839E-3</v>
      </c>
      <c r="G51" s="5"/>
    </row>
    <row r="53" spans="2:7" x14ac:dyDescent="0.25">
      <c r="B53" s="1" t="s">
        <v>106</v>
      </c>
      <c r="C53" s="1"/>
    </row>
    <row r="55" spans="2:7" x14ac:dyDescent="0.25">
      <c r="C55" t="s">
        <v>115</v>
      </c>
      <c r="D55" t="s">
        <v>5</v>
      </c>
      <c r="E55" t="s">
        <v>6</v>
      </c>
      <c r="F55" t="s">
        <v>7</v>
      </c>
      <c r="G55" t="s">
        <v>8</v>
      </c>
    </row>
    <row r="56" spans="2:7" x14ac:dyDescent="0.25">
      <c r="B56" t="s">
        <v>47</v>
      </c>
      <c r="D56" s="5">
        <v>7.4899999999999994E-2</v>
      </c>
      <c r="E56" s="5">
        <v>0</v>
      </c>
      <c r="F56" s="5">
        <v>1.7399999999999999E-2</v>
      </c>
      <c r="G56" s="5">
        <v>0</v>
      </c>
    </row>
    <row r="57" spans="2:7" x14ac:dyDescent="0.25">
      <c r="B57" t="s">
        <v>0</v>
      </c>
      <c r="D57" s="5">
        <v>8.8599999999999998E-2</v>
      </c>
      <c r="E57" s="5"/>
      <c r="F57" s="5">
        <v>1.24E-2</v>
      </c>
      <c r="G57" s="5">
        <v>0</v>
      </c>
    </row>
    <row r="58" spans="2:7" x14ac:dyDescent="0.25">
      <c r="B58" t="s">
        <v>19</v>
      </c>
      <c r="D58" s="5">
        <v>6.3500000000000001E-2</v>
      </c>
      <c r="E58" s="5">
        <v>7.1000000000000004E-3</v>
      </c>
      <c r="F58" s="5">
        <v>2.3300000000000001E-2</v>
      </c>
      <c r="G58" s="5">
        <v>0</v>
      </c>
    </row>
    <row r="59" spans="2:7" x14ac:dyDescent="0.25">
      <c r="B59" t="s">
        <v>20</v>
      </c>
      <c r="D59" s="5">
        <v>9.3600000000000003E-2</v>
      </c>
      <c r="E59" s="5"/>
      <c r="F59" s="5">
        <v>1.18E-2</v>
      </c>
      <c r="G59" s="5">
        <v>0</v>
      </c>
    </row>
    <row r="60" spans="2:7" x14ac:dyDescent="0.25">
      <c r="B60" t="s">
        <v>18</v>
      </c>
      <c r="D60" s="5">
        <v>9.4899999999999998E-2</v>
      </c>
      <c r="E60" s="5"/>
      <c r="F60" s="5">
        <v>9.4999999999999998E-3</v>
      </c>
      <c r="G60" s="5">
        <v>0</v>
      </c>
    </row>
    <row r="61" spans="2:7" x14ac:dyDescent="0.25">
      <c r="B61" t="s">
        <v>116</v>
      </c>
      <c r="C61" s="5">
        <f>153/1479</f>
        <v>0.10344827586206896</v>
      </c>
      <c r="D61" s="5">
        <f>146/1479</f>
        <v>9.8715348208248815E-2</v>
      </c>
      <c r="E61" s="5">
        <f>16/1479</f>
        <v>1.0818120351588911E-2</v>
      </c>
      <c r="F61" s="5">
        <f>12/1479</f>
        <v>8.1135902636916835E-3</v>
      </c>
      <c r="G61" s="5"/>
    </row>
    <row r="62" spans="2:7" x14ac:dyDescent="0.25">
      <c r="B62" t="s">
        <v>117</v>
      </c>
      <c r="C62" s="5">
        <f>180/1549</f>
        <v>0.11620400258231117</v>
      </c>
      <c r="D62" s="5">
        <f>163/1549</f>
        <v>0.105229180116204</v>
      </c>
      <c r="E62" s="5">
        <f>31/1549</f>
        <v>2.0012911555842477E-2</v>
      </c>
      <c r="F62" s="5">
        <f>33/1549</f>
        <v>2.130406714009038E-2</v>
      </c>
      <c r="G62" s="5"/>
    </row>
    <row r="63" spans="2:7" x14ac:dyDescent="0.25">
      <c r="B63" t="s">
        <v>118</v>
      </c>
      <c r="C63" s="5">
        <f>108/1535</f>
        <v>7.0358306188925079E-2</v>
      </c>
      <c r="D63" s="5">
        <f>97/1535</f>
        <v>6.3192182410423459E-2</v>
      </c>
      <c r="E63" s="5">
        <f>32/1535</f>
        <v>2.0846905537459284E-2</v>
      </c>
      <c r="F63" s="5">
        <f>13/1535</f>
        <v>8.4690553745928338E-3</v>
      </c>
      <c r="G63" s="5"/>
    </row>
    <row r="64" spans="2:7" x14ac:dyDescent="0.25">
      <c r="B64" t="s">
        <v>119</v>
      </c>
      <c r="C64" s="5">
        <v>9.2673763306199128E-2</v>
      </c>
      <c r="D64" s="5">
        <v>8.7664370695053229E-2</v>
      </c>
      <c r="E64" s="5">
        <v>1.1271133375078271E-2</v>
      </c>
      <c r="F64" s="5">
        <v>1.3149655604257984E-2</v>
      </c>
      <c r="G64" s="5"/>
    </row>
    <row r="65" spans="2:7" x14ac:dyDescent="0.25">
      <c r="B65" t="s">
        <v>120</v>
      </c>
      <c r="C65" s="5">
        <v>0.11326468806783767</v>
      </c>
      <c r="D65" s="5">
        <v>0.1029678982434888</v>
      </c>
      <c r="E65" s="5">
        <v>2.8467595396729255E-2</v>
      </c>
      <c r="F65" s="5">
        <v>2.1199273167777106E-2</v>
      </c>
      <c r="G65" s="5"/>
    </row>
    <row r="67" spans="2:7" x14ac:dyDescent="0.25">
      <c r="B67" s="1" t="s">
        <v>112</v>
      </c>
      <c r="C67" s="1"/>
    </row>
    <row r="69" spans="2:7" x14ac:dyDescent="0.25">
      <c r="C69" t="s">
        <v>115</v>
      </c>
      <c r="D69" t="s">
        <v>5</v>
      </c>
      <c r="E69" t="s">
        <v>6</v>
      </c>
      <c r="F69" t="s">
        <v>7</v>
      </c>
      <c r="G69" t="s">
        <v>8</v>
      </c>
    </row>
    <row r="70" spans="2:7" x14ac:dyDescent="0.25">
      <c r="B70" t="s">
        <v>47</v>
      </c>
      <c r="D70" s="5">
        <v>6.7100000000000007E-2</v>
      </c>
      <c r="E70" s="5">
        <v>4.7000000000000002E-3</v>
      </c>
      <c r="F70" s="5">
        <v>1.35E-2</v>
      </c>
      <c r="G70" s="5">
        <v>8.9999999999999998E-4</v>
      </c>
    </row>
    <row r="71" spans="2:7" x14ac:dyDescent="0.25">
      <c r="B71" t="s">
        <v>0</v>
      </c>
      <c r="D71" s="5">
        <v>6.25E-2</v>
      </c>
      <c r="E71" s="5">
        <v>4.3E-3</v>
      </c>
      <c r="F71" s="5">
        <v>1.2500000000000001E-2</v>
      </c>
      <c r="G71" s="5">
        <v>6.9999999999999999E-4</v>
      </c>
    </row>
    <row r="72" spans="2:7" x14ac:dyDescent="0.25">
      <c r="B72" t="s">
        <v>19</v>
      </c>
      <c r="D72" s="5">
        <v>5.67E-2</v>
      </c>
      <c r="E72" s="5">
        <v>4.4999999999999997E-3</v>
      </c>
      <c r="F72" s="5">
        <v>1.18E-2</v>
      </c>
      <c r="G72" s="5">
        <v>8.9999999999999998E-4</v>
      </c>
    </row>
    <row r="73" spans="2:7" x14ac:dyDescent="0.25">
      <c r="B73" t="s">
        <v>20</v>
      </c>
      <c r="D73" s="5">
        <v>5.04E-2</v>
      </c>
      <c r="E73" s="5">
        <v>3.5000000000000001E-3</v>
      </c>
      <c r="F73" s="5">
        <v>9.5999999999999992E-3</v>
      </c>
      <c r="G73" s="5">
        <v>4.0000000000000002E-4</v>
      </c>
    </row>
    <row r="74" spans="2:7" x14ac:dyDescent="0.25">
      <c r="B74" t="s">
        <v>18</v>
      </c>
      <c r="C74" s="5">
        <f>1898/36981</f>
        <v>5.1323652686514697E-2</v>
      </c>
      <c r="D74" s="5">
        <v>4.9700000000000001E-2</v>
      </c>
      <c r="E74" s="5">
        <v>3.8E-3</v>
      </c>
      <c r="F74" s="5">
        <v>9.7000000000000003E-3</v>
      </c>
      <c r="G74" s="5">
        <v>1E-3</v>
      </c>
    </row>
    <row r="75" spans="2:7" x14ac:dyDescent="0.25">
      <c r="B75" t="s">
        <v>116</v>
      </c>
      <c r="C75" s="5">
        <f>1896/37906</f>
        <v>5.0018466733498655E-2</v>
      </c>
      <c r="D75" s="5">
        <f>1823/37906</f>
        <v>4.8092650240067536E-2</v>
      </c>
      <c r="E75" s="5">
        <f>142/37906</f>
        <v>3.7461087954413549E-3</v>
      </c>
      <c r="F75" s="5">
        <f>369/37906</f>
        <v>9.7346066585764779E-3</v>
      </c>
      <c r="G75" s="5">
        <f>27/37906</f>
        <v>7.1228829209096182E-4</v>
      </c>
    </row>
    <row r="76" spans="2:7" x14ac:dyDescent="0.25">
      <c r="B76" t="s">
        <v>117</v>
      </c>
      <c r="C76" s="5">
        <f>1931/38798</f>
        <v>4.9770606732305787E-2</v>
      </c>
      <c r="D76" s="5">
        <f>1866/38798</f>
        <v>4.8095262642404248E-2</v>
      </c>
      <c r="E76" s="5">
        <f>173/38798</f>
        <v>4.4589927315841025E-3</v>
      </c>
      <c r="F76" s="5">
        <f>353/38798</f>
        <v>9.0984071343883713E-3</v>
      </c>
      <c r="G76" s="5">
        <f>23/38798</f>
        <v>5.9281406258054534E-4</v>
      </c>
    </row>
    <row r="77" spans="2:7" x14ac:dyDescent="0.25">
      <c r="B77" t="s">
        <v>118</v>
      </c>
      <c r="C77" s="5">
        <f>2094/39885</f>
        <v>5.2500940203083865E-2</v>
      </c>
      <c r="D77" s="5">
        <f>2041/39885</f>
        <v>5.1172119844553089E-2</v>
      </c>
      <c r="E77" s="5">
        <f>139/39885</f>
        <v>3.4850194308637334E-3</v>
      </c>
      <c r="F77" s="5">
        <f>365/39885</f>
        <v>9.1513100162968538E-3</v>
      </c>
      <c r="G77" s="5">
        <f>23/39885</f>
        <v>5.7665789143788396E-4</v>
      </c>
    </row>
    <row r="78" spans="2:7" x14ac:dyDescent="0.25">
      <c r="B78" t="s">
        <v>119</v>
      </c>
      <c r="C78" s="5">
        <v>6.0580121306984931E-2</v>
      </c>
      <c r="D78" s="5">
        <v>5.859909998043436E-2</v>
      </c>
      <c r="E78" s="5">
        <v>4.8424965760125224E-3</v>
      </c>
      <c r="F78" s="5">
        <v>1.0174134220309137E-2</v>
      </c>
      <c r="G78" s="5">
        <v>5.6251222852670714E-4</v>
      </c>
    </row>
    <row r="79" spans="2:7" x14ac:dyDescent="0.25">
      <c r="B79" t="s">
        <v>120</v>
      </c>
      <c r="C79" s="5">
        <v>5.7728074777051837E-2</v>
      </c>
      <c r="D79" s="5">
        <v>5.6130478325146643E-2</v>
      </c>
      <c r="E79" s="5">
        <v>5.2696838189708614E-3</v>
      </c>
      <c r="F79" s="5">
        <v>1.0134007344174734E-2</v>
      </c>
      <c r="G79" s="5">
        <v>5.0073918641804565E-4</v>
      </c>
    </row>
    <row r="81" spans="2:7" x14ac:dyDescent="0.25">
      <c r="B81" s="1" t="s">
        <v>107</v>
      </c>
      <c r="C81" s="1"/>
    </row>
    <row r="83" spans="2:7" x14ac:dyDescent="0.25">
      <c r="C83" t="s">
        <v>115</v>
      </c>
      <c r="D83" t="s">
        <v>5</v>
      </c>
      <c r="E83" t="s">
        <v>6</v>
      </c>
      <c r="F83" t="s">
        <v>7</v>
      </c>
      <c r="G83" t="s">
        <v>8</v>
      </c>
    </row>
    <row r="84" spans="2:7" x14ac:dyDescent="0.25">
      <c r="B84" t="s">
        <v>47</v>
      </c>
      <c r="D84" s="5">
        <v>6.1899999999999997E-2</v>
      </c>
      <c r="E84" s="5">
        <v>1.1900000000000001E-2</v>
      </c>
      <c r="F84" s="5">
        <v>1.26E-2</v>
      </c>
      <c r="G84" s="5">
        <v>8.9999999999999998E-4</v>
      </c>
    </row>
    <row r="85" spans="2:7" x14ac:dyDescent="0.25">
      <c r="B85" t="s">
        <v>0</v>
      </c>
      <c r="D85" s="5">
        <v>5.5899999999999998E-2</v>
      </c>
      <c r="E85" s="5">
        <v>1.17E-2</v>
      </c>
      <c r="F85" s="5">
        <v>9.7999999999999997E-3</v>
      </c>
      <c r="G85" s="5">
        <v>1E-3</v>
      </c>
    </row>
    <row r="86" spans="2:7" x14ac:dyDescent="0.25">
      <c r="B86" t="s">
        <v>19</v>
      </c>
      <c r="D86" s="5">
        <v>4.7E-2</v>
      </c>
      <c r="E86" s="5">
        <v>7.7999999999999996E-3</v>
      </c>
      <c r="F86" s="5">
        <v>9.4999999999999998E-3</v>
      </c>
      <c r="G86" s="5"/>
    </row>
    <row r="87" spans="2:7" x14ac:dyDescent="0.25">
      <c r="B87" t="s">
        <v>20</v>
      </c>
      <c r="D87" s="5">
        <v>4.2200000000000001E-2</v>
      </c>
      <c r="E87" s="5">
        <v>8.3999999999999995E-3</v>
      </c>
      <c r="F87" s="5">
        <v>9.7000000000000003E-3</v>
      </c>
      <c r="G87" s="5">
        <v>1E-3</v>
      </c>
    </row>
    <row r="88" spans="2:7" x14ac:dyDescent="0.25">
      <c r="B88" t="s">
        <v>18</v>
      </c>
      <c r="C88" s="6">
        <f>410/8600</f>
        <v>4.7674418604651166E-2</v>
      </c>
      <c r="D88" s="5">
        <v>4.3499999999999997E-2</v>
      </c>
      <c r="E88" s="5">
        <v>4.7999999999999996E-3</v>
      </c>
      <c r="F88" s="5">
        <v>6.8999999999999999E-3</v>
      </c>
      <c r="G88" s="5"/>
    </row>
    <row r="89" spans="2:7" x14ac:dyDescent="0.25">
      <c r="B89" t="s">
        <v>116</v>
      </c>
      <c r="C89" s="5">
        <f>432/9184</f>
        <v>4.7038327526132406E-2</v>
      </c>
      <c r="D89" s="5">
        <f>391/9184</f>
        <v>4.2574041811846687E-2</v>
      </c>
      <c r="E89" s="5">
        <f>50/9184</f>
        <v>5.4442508710801397E-3</v>
      </c>
      <c r="F89" s="5">
        <f>55/9184</f>
        <v>5.9886759581881535E-3</v>
      </c>
      <c r="G89" s="5"/>
    </row>
    <row r="90" spans="2:7" x14ac:dyDescent="0.25">
      <c r="B90" t="s">
        <v>117</v>
      </c>
      <c r="C90" s="5">
        <f>400/9606</f>
        <v>4.1640641265875494E-2</v>
      </c>
      <c r="D90" s="5">
        <f>358/9606</f>
        <v>3.7268373932958565E-2</v>
      </c>
      <c r="E90" s="5">
        <f>66/9606</f>
        <v>6.8707058088694562E-3</v>
      </c>
      <c r="F90" s="5">
        <f>55/9606</f>
        <v>5.7255881740578803E-3</v>
      </c>
      <c r="G90" s="5"/>
    </row>
    <row r="91" spans="2:7" x14ac:dyDescent="0.25">
      <c r="B91" t="s">
        <v>118</v>
      </c>
      <c r="C91" s="5">
        <f>448/10224</f>
        <v>4.3818466353677622E-2</v>
      </c>
      <c r="D91" s="5">
        <f>423/10224</f>
        <v>4.1373239436619719E-2</v>
      </c>
      <c r="E91" s="5">
        <f>59/10224</f>
        <v>5.770735524256651E-3</v>
      </c>
      <c r="F91" s="5">
        <f>45/10224</f>
        <v>4.4014084507042256E-3</v>
      </c>
      <c r="G91" s="5"/>
    </row>
    <row r="92" spans="2:7" x14ac:dyDescent="0.25">
      <c r="B92" t="s">
        <v>119</v>
      </c>
      <c r="C92" s="5">
        <v>3.3330247199333397E-2</v>
      </c>
      <c r="D92" s="5">
        <v>2.638644569947227E-2</v>
      </c>
      <c r="E92" s="5">
        <v>8.147393759837052E-3</v>
      </c>
      <c r="F92" s="5">
        <v>4.3514489399129712E-3</v>
      </c>
      <c r="G92" s="5"/>
    </row>
    <row r="93" spans="2:7" x14ac:dyDescent="0.25">
      <c r="B93" t="s">
        <v>120</v>
      </c>
      <c r="C93" s="5">
        <v>3.9470127061367939E-2</v>
      </c>
      <c r="D93" s="5">
        <v>3.0999369198882579E-2</v>
      </c>
      <c r="E93" s="5">
        <v>9.8224745426691903E-3</v>
      </c>
      <c r="F93" s="5">
        <v>3.0638911417500223E-3</v>
      </c>
      <c r="G93" s="5"/>
    </row>
    <row r="95" spans="2:7" x14ac:dyDescent="0.25">
      <c r="B95" s="1" t="s">
        <v>100</v>
      </c>
      <c r="C95" s="1"/>
    </row>
    <row r="97" spans="2:7" x14ac:dyDescent="0.25">
      <c r="C97" t="s">
        <v>115</v>
      </c>
      <c r="D97" t="s">
        <v>5</v>
      </c>
      <c r="E97" t="s">
        <v>6</v>
      </c>
      <c r="F97" t="s">
        <v>7</v>
      </c>
      <c r="G97" t="s">
        <v>8</v>
      </c>
    </row>
    <row r="98" spans="2:7" x14ac:dyDescent="0.25">
      <c r="B98" t="s">
        <v>47</v>
      </c>
      <c r="D98" s="5">
        <v>0.13220000000000001</v>
      </c>
      <c r="E98" s="5">
        <v>7.3800000000000004E-2</v>
      </c>
      <c r="F98" s="5">
        <v>2.1399999999999999E-2</v>
      </c>
      <c r="G98" s="5"/>
    </row>
    <row r="99" spans="2:7" x14ac:dyDescent="0.25">
      <c r="B99" t="s">
        <v>0</v>
      </c>
      <c r="D99" s="5">
        <v>0.11</v>
      </c>
      <c r="E99" s="5">
        <v>6.2399999999999997E-2</v>
      </c>
      <c r="F99" s="5">
        <v>2.64E-2</v>
      </c>
      <c r="G99" s="5"/>
    </row>
    <row r="100" spans="2:7" x14ac:dyDescent="0.25">
      <c r="B100" t="s">
        <v>19</v>
      </c>
      <c r="D100" s="5">
        <v>0.13220000000000001</v>
      </c>
      <c r="E100" s="5">
        <v>7.3899999999999993E-2</v>
      </c>
      <c r="F100" s="5">
        <v>2.5100000000000001E-2</v>
      </c>
      <c r="G100" s="5">
        <v>0</v>
      </c>
    </row>
    <row r="101" spans="2:7" x14ac:dyDescent="0.25">
      <c r="B101" t="s">
        <v>20</v>
      </c>
      <c r="D101" s="5">
        <v>0.112</v>
      </c>
      <c r="E101" s="5">
        <v>5.5800000000000002E-2</v>
      </c>
      <c r="F101" s="5">
        <v>2.3599999999999999E-2</v>
      </c>
      <c r="G101" s="5">
        <v>0</v>
      </c>
    </row>
    <row r="102" spans="2:7" x14ac:dyDescent="0.25">
      <c r="B102" t="s">
        <v>18</v>
      </c>
      <c r="D102" s="5">
        <v>8.9300000000000004E-2</v>
      </c>
      <c r="E102" s="5">
        <v>4.5900000000000003E-2</v>
      </c>
      <c r="F102" s="5">
        <v>2.1899999999999999E-2</v>
      </c>
      <c r="G102" s="5">
        <v>0</v>
      </c>
    </row>
    <row r="103" spans="2:7" x14ac:dyDescent="0.25">
      <c r="B103" t="s">
        <v>116</v>
      </c>
      <c r="C103" s="5">
        <f>1085/9822</f>
        <v>0.11046630014253717</v>
      </c>
      <c r="D103" s="5">
        <f>869/9822</f>
        <v>8.8474852372225618E-2</v>
      </c>
      <c r="E103" s="5">
        <f>432/9822</f>
        <v>4.3982895540623089E-2</v>
      </c>
      <c r="F103" s="5">
        <f>194/9822</f>
        <v>1.9751578090002036E-2</v>
      </c>
      <c r="G103" s="5"/>
    </row>
    <row r="104" spans="2:7" x14ac:dyDescent="0.25">
      <c r="B104" t="s">
        <v>117</v>
      </c>
      <c r="C104" s="5">
        <f>1173/9795</f>
        <v>0.11975497702909647</v>
      </c>
      <c r="D104" s="5">
        <f>956/9795</f>
        <v>9.760081674323634E-2</v>
      </c>
      <c r="E104" s="5">
        <f>415/9795</f>
        <v>4.2368555385400714E-2</v>
      </c>
      <c r="F104" s="5">
        <f>259/9795</f>
        <v>2.6442062276671771E-2</v>
      </c>
      <c r="G104" s="5"/>
    </row>
    <row r="105" spans="2:7" x14ac:dyDescent="0.25">
      <c r="B105" t="s">
        <v>118</v>
      </c>
      <c r="C105" s="5">
        <f>1199/9682</f>
        <v>0.12383804998967156</v>
      </c>
      <c r="D105" s="5">
        <f>930/9682</f>
        <v>9.6054534187151416E-2</v>
      </c>
      <c r="E105" s="5">
        <f>552/9682</f>
        <v>5.701301384011568E-2</v>
      </c>
      <c r="F105" s="5">
        <f>128/9682</f>
        <v>1.3220409006403635E-2</v>
      </c>
      <c r="G105" s="5"/>
    </row>
    <row r="106" spans="2:7" x14ac:dyDescent="0.25">
      <c r="B106" t="s">
        <v>119</v>
      </c>
      <c r="C106" s="5">
        <v>0.16015271777353562</v>
      </c>
      <c r="D106" s="5">
        <v>0.13001105194413745</v>
      </c>
      <c r="E106" s="5">
        <v>7.2339997990555613E-2</v>
      </c>
      <c r="F106" s="5">
        <v>1.5673666231287048E-2</v>
      </c>
      <c r="G106" s="5"/>
    </row>
    <row r="107" spans="2:7" x14ac:dyDescent="0.25">
      <c r="B107" t="s">
        <v>120</v>
      </c>
      <c r="C107" s="5">
        <v>0.14583739520374342</v>
      </c>
      <c r="D107" s="5">
        <v>0.11922402027685709</v>
      </c>
      <c r="E107" s="5">
        <v>6.5899785533242342E-2</v>
      </c>
      <c r="F107" s="5">
        <v>1.2185611230259311E-2</v>
      </c>
      <c r="G107" s="5"/>
    </row>
    <row r="109" spans="2:7" x14ac:dyDescent="0.25">
      <c r="B109" s="1" t="s">
        <v>101</v>
      </c>
      <c r="C109" s="1"/>
    </row>
    <row r="111" spans="2:7" x14ac:dyDescent="0.25">
      <c r="C111" t="s">
        <v>115</v>
      </c>
      <c r="D111" t="s">
        <v>5</v>
      </c>
      <c r="E111" t="s">
        <v>6</v>
      </c>
      <c r="F111" t="s">
        <v>7</v>
      </c>
      <c r="G111" t="s">
        <v>8</v>
      </c>
    </row>
    <row r="112" spans="2:7" x14ac:dyDescent="0.25">
      <c r="B112" t="s">
        <v>47</v>
      </c>
      <c r="D112" s="5">
        <v>0.1502</v>
      </c>
      <c r="E112" s="5">
        <v>5.0599999999999999E-2</v>
      </c>
      <c r="F112" s="5">
        <v>1.8200000000000001E-2</v>
      </c>
      <c r="G112" s="5">
        <v>6.9999999999999999E-4</v>
      </c>
    </row>
    <row r="113" spans="2:7" x14ac:dyDescent="0.25">
      <c r="B113" t="s">
        <v>0</v>
      </c>
      <c r="D113" s="5">
        <v>0.1421</v>
      </c>
      <c r="E113" s="5">
        <v>4.9599999999999998E-2</v>
      </c>
      <c r="F113" s="5">
        <v>2.0500000000000001E-2</v>
      </c>
      <c r="G113" s="5">
        <v>8.0000000000000004E-4</v>
      </c>
    </row>
    <row r="114" spans="2:7" x14ac:dyDescent="0.25">
      <c r="B114" t="s">
        <v>19</v>
      </c>
      <c r="D114" s="5">
        <v>0.14130000000000001</v>
      </c>
      <c r="E114" s="5">
        <v>4.19E-2</v>
      </c>
      <c r="F114" s="5">
        <v>1.8599999999999998E-2</v>
      </c>
      <c r="G114" s="5">
        <v>4.0000000000000002E-4</v>
      </c>
    </row>
    <row r="115" spans="2:7" x14ac:dyDescent="0.25">
      <c r="B115" t="s">
        <v>20</v>
      </c>
      <c r="D115" s="5">
        <v>0.13009999999999999</v>
      </c>
      <c r="E115" s="5">
        <v>4.2700000000000002E-2</v>
      </c>
      <c r="F115" s="5">
        <v>2.1700000000000001E-2</v>
      </c>
      <c r="G115" s="5">
        <v>2.0000000000000001E-4</v>
      </c>
    </row>
    <row r="116" spans="2:7" x14ac:dyDescent="0.25">
      <c r="B116" t="s">
        <v>18</v>
      </c>
      <c r="D116" s="5">
        <v>0.12709999999999999</v>
      </c>
      <c r="E116" s="5">
        <v>4.0099999999999997E-2</v>
      </c>
      <c r="F116" s="5">
        <v>1.9699999999999999E-2</v>
      </c>
      <c r="G116" s="5"/>
    </row>
    <row r="117" spans="2:7" x14ac:dyDescent="0.25">
      <c r="B117" t="s">
        <v>116</v>
      </c>
      <c r="C117" s="5">
        <f>3610/25702</f>
        <v>0.14045599564236247</v>
      </c>
      <c r="D117" s="5">
        <f>3366/25702</f>
        <v>0.13096257100614739</v>
      </c>
      <c r="E117" s="5">
        <f>1120/25702</f>
        <v>4.3576375379347908E-2</v>
      </c>
      <c r="F117" s="5">
        <f>417/25702</f>
        <v>1.6224418333203643E-2</v>
      </c>
      <c r="G117" s="5"/>
    </row>
    <row r="118" spans="2:7" x14ac:dyDescent="0.25">
      <c r="B118" t="s">
        <v>117</v>
      </c>
      <c r="C118" s="5">
        <f>3282/25793</f>
        <v>0.12724382584422131</v>
      </c>
      <c r="D118" s="5">
        <f>3062/25793</f>
        <v>0.11871437987050751</v>
      </c>
      <c r="E118" s="5">
        <f>1004/25793</f>
        <v>3.8925289807312059E-2</v>
      </c>
      <c r="F118" s="5">
        <f>381/25793</f>
        <v>1.4771449618113441E-2</v>
      </c>
      <c r="G118" s="5">
        <f>18/25793</f>
        <v>6.9786376148567439E-4</v>
      </c>
    </row>
    <row r="119" spans="2:7" x14ac:dyDescent="0.25">
      <c r="B119" t="s">
        <v>118</v>
      </c>
      <c r="C119" s="5">
        <f>3335/26342</f>
        <v>0.12660390251309694</v>
      </c>
      <c r="D119" s="5">
        <f>3161/26342</f>
        <v>0.11999848151241363</v>
      </c>
      <c r="E119" s="5">
        <f>893/26342</f>
        <v>3.390023536557589E-2</v>
      </c>
      <c r="F119" s="5">
        <f>373/26342</f>
        <v>1.4159896742844126E-2</v>
      </c>
      <c r="G119" s="5">
        <f>14/26342</f>
        <v>5.3147065522739353E-4</v>
      </c>
    </row>
    <row r="120" spans="2:7" x14ac:dyDescent="0.25">
      <c r="B120" t="s">
        <v>119</v>
      </c>
      <c r="C120" s="5">
        <v>0.10965058854108647</v>
      </c>
      <c r="D120" s="5">
        <v>0.10244699417028703</v>
      </c>
      <c r="E120" s="5">
        <v>3.5646652556533362E-2</v>
      </c>
      <c r="F120" s="5">
        <v>1.4332924882106123E-2</v>
      </c>
      <c r="G120" s="5">
        <v>7.7977052467416734E-4</v>
      </c>
    </row>
    <row r="121" spans="2:7" x14ac:dyDescent="0.25">
      <c r="B121" t="s">
        <v>120</v>
      </c>
      <c r="C121" s="5">
        <v>0.10878276533950958</v>
      </c>
      <c r="D121" s="5">
        <v>0.10051101062460939</v>
      </c>
      <c r="E121" s="5">
        <v>4.0329399654424468E-2</v>
      </c>
      <c r="F121" s="5">
        <v>1.5771478989743026E-2</v>
      </c>
      <c r="G121" s="5"/>
    </row>
  </sheetData>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92"/>
  <sheetViews>
    <sheetView topLeftCell="A92" zoomScale="120" zoomScaleNormal="120" workbookViewId="0">
      <selection activeCell="AC117" sqref="AC117"/>
    </sheetView>
  </sheetViews>
  <sheetFormatPr defaultRowHeight="13.2" x14ac:dyDescent="0.25"/>
  <cols>
    <col min="1" max="60" width="12.6640625" customWidth="1"/>
  </cols>
  <sheetData>
    <row r="1" spans="1:59" x14ac:dyDescent="0.25">
      <c r="A1" s="1" t="s">
        <v>31</v>
      </c>
    </row>
    <row r="2" spans="1:59" x14ac:dyDescent="0.25">
      <c r="A2" s="4" t="s">
        <v>121</v>
      </c>
    </row>
    <row r="3" spans="1:59" x14ac:dyDescent="0.25">
      <c r="A3" s="4" t="s">
        <v>33</v>
      </c>
    </row>
    <row r="4" spans="1:59" x14ac:dyDescent="0.25">
      <c r="A4" t="s">
        <v>44</v>
      </c>
    </row>
    <row r="6" spans="1:59" x14ac:dyDescent="0.25">
      <c r="A6" t="s">
        <v>28</v>
      </c>
      <c r="AU6" t="s">
        <v>28</v>
      </c>
    </row>
    <row r="8" spans="1:59" x14ac:dyDescent="0.25">
      <c r="B8" t="s">
        <v>122</v>
      </c>
      <c r="I8" t="s">
        <v>123</v>
      </c>
      <c r="P8" t="s">
        <v>124</v>
      </c>
      <c r="W8" t="s">
        <v>125</v>
      </c>
      <c r="AF8" t="s">
        <v>126</v>
      </c>
      <c r="AN8" t="s">
        <v>127</v>
      </c>
      <c r="AV8" t="s">
        <v>128</v>
      </c>
      <c r="BC8" t="s">
        <v>129</v>
      </c>
    </row>
    <row r="10" spans="1:59" x14ac:dyDescent="0.25">
      <c r="C10" t="s">
        <v>5</v>
      </c>
      <c r="D10" t="s">
        <v>6</v>
      </c>
      <c r="E10" t="s">
        <v>7</v>
      </c>
      <c r="F10" t="s">
        <v>8</v>
      </c>
      <c r="J10" t="s">
        <v>5</v>
      </c>
      <c r="K10" t="s">
        <v>6</v>
      </c>
      <c r="L10" t="s">
        <v>7</v>
      </c>
      <c r="M10" t="s">
        <v>8</v>
      </c>
      <c r="Q10" t="s">
        <v>5</v>
      </c>
      <c r="R10" t="s">
        <v>6</v>
      </c>
      <c r="S10" t="s">
        <v>7</v>
      </c>
      <c r="T10" t="s">
        <v>8</v>
      </c>
      <c r="X10" t="s">
        <v>5</v>
      </c>
      <c r="Y10" t="s">
        <v>6</v>
      </c>
      <c r="Z10" t="s">
        <v>7</v>
      </c>
      <c r="AA10" t="s">
        <v>8</v>
      </c>
      <c r="AG10" t="s">
        <v>5</v>
      </c>
      <c r="AH10" t="s">
        <v>6</v>
      </c>
      <c r="AI10" t="s">
        <v>7</v>
      </c>
      <c r="AJ10" t="s">
        <v>8</v>
      </c>
      <c r="AO10" t="s">
        <v>5</v>
      </c>
      <c r="AP10" t="s">
        <v>6</v>
      </c>
      <c r="AQ10" t="s">
        <v>7</v>
      </c>
      <c r="AR10" t="s">
        <v>8</v>
      </c>
      <c r="AW10" t="s">
        <v>5</v>
      </c>
      <c r="AX10" t="s">
        <v>6</v>
      </c>
      <c r="AY10" t="s">
        <v>7</v>
      </c>
      <c r="AZ10" t="s">
        <v>8</v>
      </c>
      <c r="BD10" t="s">
        <v>5</v>
      </c>
      <c r="BE10" t="s">
        <v>6</v>
      </c>
      <c r="BF10" t="s">
        <v>7</v>
      </c>
      <c r="BG10" t="s">
        <v>8</v>
      </c>
    </row>
    <row r="11" spans="1:59" x14ac:dyDescent="0.25">
      <c r="B11" s="2" t="s">
        <v>1</v>
      </c>
      <c r="C11" s="7">
        <v>1.0055570256681662E-2</v>
      </c>
      <c r="D11" s="7">
        <v>6.0862662079915319E-3</v>
      </c>
      <c r="E11" s="7"/>
      <c r="F11" s="7">
        <v>0</v>
      </c>
      <c r="I11" s="2" t="s">
        <v>1</v>
      </c>
      <c r="J11" s="7"/>
      <c r="K11" s="7"/>
      <c r="L11" s="7"/>
      <c r="M11" s="7">
        <v>0</v>
      </c>
      <c r="P11" s="2" t="s">
        <v>1</v>
      </c>
      <c r="Q11" s="7"/>
      <c r="R11" s="7"/>
      <c r="S11" s="7">
        <v>0</v>
      </c>
      <c r="T11" s="7">
        <v>0</v>
      </c>
      <c r="W11" s="2" t="s">
        <v>1</v>
      </c>
      <c r="X11" s="7">
        <v>1.3767912334925541E-2</v>
      </c>
      <c r="Y11" s="7"/>
      <c r="Z11" s="7"/>
      <c r="AA11" s="7"/>
      <c r="AF11" s="2" t="s">
        <v>1</v>
      </c>
      <c r="AG11" s="7">
        <v>0</v>
      </c>
      <c r="AH11" s="7">
        <v>0</v>
      </c>
      <c r="AI11" s="7"/>
      <c r="AJ11" s="7">
        <v>0</v>
      </c>
      <c r="AN11" s="2" t="s">
        <v>1</v>
      </c>
      <c r="AO11" s="7"/>
      <c r="AP11" s="7"/>
      <c r="AQ11" s="7"/>
      <c r="AR11" s="7">
        <v>0</v>
      </c>
      <c r="AV11" s="2" t="s">
        <v>1</v>
      </c>
      <c r="AW11" s="7"/>
      <c r="AX11" s="7"/>
      <c r="AY11" s="7"/>
      <c r="AZ11" s="7">
        <v>0</v>
      </c>
      <c r="BA11" s="7"/>
      <c r="BC11" s="2" t="s">
        <v>1</v>
      </c>
      <c r="BD11" s="7">
        <v>2.9343269678621331E-2</v>
      </c>
      <c r="BE11" s="7">
        <v>8.8495575221238937E-3</v>
      </c>
      <c r="BF11" s="7"/>
      <c r="BG11" s="7">
        <v>0</v>
      </c>
    </row>
    <row r="12" spans="1:59" ht="39.6" x14ac:dyDescent="0.25">
      <c r="B12" s="2" t="s">
        <v>17</v>
      </c>
      <c r="C12" s="7">
        <v>8.0324357405140753E-2</v>
      </c>
      <c r="D12" s="7">
        <v>7.5734394124847004E-2</v>
      </c>
      <c r="E12" s="7">
        <v>2.2949816401468787E-2</v>
      </c>
      <c r="F12" s="7"/>
      <c r="I12" s="2" t="s">
        <v>17</v>
      </c>
      <c r="J12" s="7">
        <v>0.14028436018957346</v>
      </c>
      <c r="K12" s="7">
        <v>8.5308056872037921E-2</v>
      </c>
      <c r="L12" s="7">
        <v>2.6540284360189573E-2</v>
      </c>
      <c r="M12" s="7"/>
      <c r="P12" s="2" t="s">
        <v>17</v>
      </c>
      <c r="Q12" s="7"/>
      <c r="R12" s="7">
        <v>0</v>
      </c>
      <c r="S12" s="7">
        <v>0</v>
      </c>
      <c r="T12" s="7">
        <v>0</v>
      </c>
      <c r="W12" s="2" t="s">
        <v>17</v>
      </c>
      <c r="X12" s="7">
        <v>0.12151067323481117</v>
      </c>
      <c r="Y12" s="7">
        <v>2.0251778872468526E-2</v>
      </c>
      <c r="Z12" s="7">
        <v>2.4630541871921183E-2</v>
      </c>
      <c r="AA12" s="7"/>
      <c r="AF12" s="2" t="s">
        <v>17</v>
      </c>
      <c r="AG12" s="7"/>
      <c r="AH12" s="7">
        <v>0</v>
      </c>
      <c r="AI12" s="7">
        <v>0</v>
      </c>
      <c r="AJ12" s="7"/>
      <c r="AN12" s="2" t="s">
        <v>17</v>
      </c>
      <c r="AO12" s="7">
        <v>6.5868263473053898E-2</v>
      </c>
      <c r="AP12" s="7"/>
      <c r="AQ12" s="7"/>
      <c r="AR12" s="7"/>
      <c r="AV12" s="2" t="s">
        <v>17</v>
      </c>
      <c r="AW12" s="7">
        <v>0.16235632183908047</v>
      </c>
      <c r="AX12" s="7">
        <v>0.11494252873563218</v>
      </c>
      <c r="AY12" s="7">
        <v>2.2030651340996167E-2</v>
      </c>
      <c r="AZ12" s="7"/>
      <c r="BA12" s="7"/>
      <c r="BC12" s="2" t="s">
        <v>17</v>
      </c>
      <c r="BD12" s="7">
        <v>0.17715617715617715</v>
      </c>
      <c r="BE12" s="7">
        <v>7.7622377622377628E-2</v>
      </c>
      <c r="BF12" s="7">
        <v>2.6340326340326341E-2</v>
      </c>
      <c r="BG12" s="7"/>
    </row>
    <row r="13" spans="1:59" ht="26.4" x14ac:dyDescent="0.25">
      <c r="B13" s="2" t="s">
        <v>12</v>
      </c>
      <c r="C13" s="7">
        <v>4.4267853799588107E-2</v>
      </c>
      <c r="D13" s="7">
        <v>3.6529300409810492E-2</v>
      </c>
      <c r="E13" s="7">
        <v>1.295999667158994E-2</v>
      </c>
      <c r="F13" s="7">
        <v>5.2006407189365725E-4</v>
      </c>
      <c r="I13" s="2" t="s">
        <v>12</v>
      </c>
      <c r="J13" s="7">
        <v>8.1412602631318623E-2</v>
      </c>
      <c r="K13" s="7">
        <v>4.7284597883074486E-2</v>
      </c>
      <c r="L13" s="7">
        <v>2.2455237906815709E-2</v>
      </c>
      <c r="M13" s="7"/>
      <c r="P13" s="2" t="s">
        <v>12</v>
      </c>
      <c r="Q13" s="7">
        <v>3.8210624417520968E-2</v>
      </c>
      <c r="R13" s="7"/>
      <c r="S13" s="7"/>
      <c r="T13" s="7">
        <v>0</v>
      </c>
      <c r="W13" s="2" t="s">
        <v>12</v>
      </c>
      <c r="X13" s="7">
        <v>6.4808873407278395E-2</v>
      </c>
      <c r="Y13" s="7">
        <v>6.5083875698964157E-3</v>
      </c>
      <c r="Z13" s="7">
        <v>1.2008433403611697E-2</v>
      </c>
      <c r="AA13" s="7"/>
      <c r="AF13" s="2" t="s">
        <v>12</v>
      </c>
      <c r="AG13" s="7">
        <v>8.2262210796915161E-2</v>
      </c>
      <c r="AH13" s="7">
        <v>3.3419023136246784E-2</v>
      </c>
      <c r="AI13" s="7"/>
      <c r="AJ13" s="7">
        <v>0</v>
      </c>
      <c r="AN13" s="2" t="s">
        <v>12</v>
      </c>
      <c r="AO13" s="7">
        <v>4.2958370239149689E-2</v>
      </c>
      <c r="AP13" s="7">
        <v>1.682905225863596E-2</v>
      </c>
      <c r="AQ13" s="7">
        <v>5.3144375553587243E-3</v>
      </c>
      <c r="AR13" s="7">
        <v>0</v>
      </c>
      <c r="AV13" s="2" t="s">
        <v>12</v>
      </c>
      <c r="AW13" s="7">
        <v>0.11064530618356042</v>
      </c>
      <c r="AX13" s="7">
        <v>5.4199730498577632E-2</v>
      </c>
      <c r="AY13" s="7">
        <v>9.7319958077556525E-3</v>
      </c>
      <c r="AZ13" s="7">
        <v>0</v>
      </c>
      <c r="BA13" s="7"/>
      <c r="BC13" s="2" t="s">
        <v>12</v>
      </c>
      <c r="BD13" s="7">
        <v>0.10819795995466566</v>
      </c>
      <c r="BE13" s="7">
        <v>4.1027578390630905E-2</v>
      </c>
      <c r="BF13" s="7">
        <v>1.8133736305251228E-2</v>
      </c>
      <c r="BG13" s="7"/>
    </row>
    <row r="14" spans="1:59" ht="26.4" x14ac:dyDescent="0.25">
      <c r="B14" s="2" t="s">
        <v>13</v>
      </c>
      <c r="C14" s="7">
        <v>3.2305433186490456E-2</v>
      </c>
      <c r="D14" s="7">
        <v>2.2393538913362702E-2</v>
      </c>
      <c r="E14" s="7">
        <v>6.9750367107195305E-3</v>
      </c>
      <c r="F14" s="7"/>
      <c r="I14" s="2" t="s">
        <v>13</v>
      </c>
      <c r="J14" s="7"/>
      <c r="K14" s="7"/>
      <c r="L14" s="7"/>
      <c r="M14" s="7"/>
      <c r="P14" s="2" t="s">
        <v>13</v>
      </c>
      <c r="Q14" s="7">
        <v>2.729528535980149E-2</v>
      </c>
      <c r="R14" s="7"/>
      <c r="S14" s="7"/>
      <c r="T14" s="7"/>
      <c r="W14" s="2" t="s">
        <v>13</v>
      </c>
      <c r="X14" s="7">
        <v>5.2293577981651379E-2</v>
      </c>
      <c r="Y14" s="7">
        <v>5.0458715596330278E-3</v>
      </c>
      <c r="Z14" s="7">
        <v>9.6330275229357804E-3</v>
      </c>
      <c r="AA14" s="7"/>
      <c r="AF14" s="2" t="s">
        <v>13</v>
      </c>
      <c r="AG14" s="7"/>
      <c r="AH14" s="7">
        <v>0</v>
      </c>
      <c r="AI14" s="7">
        <v>0</v>
      </c>
      <c r="AJ14" s="7"/>
      <c r="AN14" s="2" t="s">
        <v>13</v>
      </c>
      <c r="AO14" s="7">
        <v>2.6022304832713755E-2</v>
      </c>
      <c r="AP14" s="7"/>
      <c r="AQ14" s="7"/>
      <c r="AR14" s="7"/>
      <c r="AV14" s="2" t="s">
        <v>13</v>
      </c>
      <c r="AW14" s="7">
        <v>0.13468013468013468</v>
      </c>
      <c r="AX14" s="7">
        <v>6.7340067340067339E-2</v>
      </c>
      <c r="AY14" s="7"/>
      <c r="AZ14" s="7"/>
      <c r="BA14" s="7"/>
      <c r="BC14" s="2" t="s">
        <v>13</v>
      </c>
      <c r="BD14" s="7">
        <v>8.2191780821917804E-2</v>
      </c>
      <c r="BE14" s="7">
        <v>3.7066881547139406E-2</v>
      </c>
      <c r="BF14" s="7">
        <v>1.2892828364222401E-2</v>
      </c>
      <c r="BG14" s="7"/>
    </row>
    <row r="15" spans="1:59" x14ac:dyDescent="0.25">
      <c r="B15" s="2" t="s">
        <v>15</v>
      </c>
      <c r="C15" s="7">
        <v>2.4380266710300254E-2</v>
      </c>
      <c r="D15" s="7">
        <v>1.5544465352204859E-2</v>
      </c>
      <c r="E15" s="7">
        <v>5.2360304344268999E-3</v>
      </c>
      <c r="F15" s="7"/>
      <c r="I15" s="2" t="s">
        <v>15</v>
      </c>
      <c r="J15" s="7">
        <v>6.5666041275797379E-2</v>
      </c>
      <c r="K15" s="7">
        <v>3.1894934333958722E-2</v>
      </c>
      <c r="L15" s="7"/>
      <c r="M15" s="7"/>
      <c r="P15" s="2" t="s">
        <v>15</v>
      </c>
      <c r="Q15" s="7">
        <v>2.3181737745531766E-2</v>
      </c>
      <c r="R15" s="7">
        <v>6.7244735445053973E-3</v>
      </c>
      <c r="S15" s="7">
        <v>2.6543974517784464E-3</v>
      </c>
      <c r="T15" s="7"/>
      <c r="W15" s="2" t="s">
        <v>15</v>
      </c>
      <c r="X15" s="7">
        <v>5.383129426915647E-2</v>
      </c>
      <c r="Y15" s="7">
        <v>4.2069113543678899E-3</v>
      </c>
      <c r="Z15" s="7">
        <v>9.4440867138870996E-3</v>
      </c>
      <c r="AA15" s="7"/>
      <c r="AF15" s="2" t="s">
        <v>15</v>
      </c>
      <c r="AG15" s="7">
        <v>0.11082251082251082</v>
      </c>
      <c r="AH15" s="7">
        <v>2.9437229437229439E-2</v>
      </c>
      <c r="AI15" s="7">
        <v>2.3376623376623377E-2</v>
      </c>
      <c r="AJ15" s="7"/>
      <c r="AN15" s="2" t="s">
        <v>15</v>
      </c>
      <c r="AO15" s="7">
        <v>2.9138000809388911E-2</v>
      </c>
      <c r="AP15" s="7">
        <v>7.824092809928504E-3</v>
      </c>
      <c r="AQ15" s="7">
        <v>2.1583704303251047E-3</v>
      </c>
      <c r="AR15" s="7"/>
      <c r="AV15" s="2" t="s">
        <v>15</v>
      </c>
      <c r="AW15" s="7">
        <v>0.11469072164948453</v>
      </c>
      <c r="AX15" s="7">
        <v>5.9278350515463915E-2</v>
      </c>
      <c r="AY15" s="7"/>
      <c r="AZ15" s="7"/>
      <c r="BA15" s="7"/>
      <c r="BC15" s="2" t="s">
        <v>15</v>
      </c>
      <c r="BD15" s="7">
        <v>5.9109311740890687E-2</v>
      </c>
      <c r="BE15" s="7">
        <v>2.4777327935222672E-2</v>
      </c>
      <c r="BF15" s="7">
        <v>8.2591093117408906E-3</v>
      </c>
      <c r="BG15" s="7"/>
    </row>
    <row r="16" spans="1:59" x14ac:dyDescent="0.25">
      <c r="B16" s="2" t="s">
        <v>2</v>
      </c>
      <c r="C16" s="7">
        <v>3.9455576030416835E-2</v>
      </c>
      <c r="D16" s="7">
        <v>3.174640199668774E-2</v>
      </c>
      <c r="E16" s="7">
        <v>1.0869818758601386E-2</v>
      </c>
      <c r="F16" s="7">
        <v>3.7321266123953257E-4</v>
      </c>
      <c r="I16" s="2" t="s">
        <v>2</v>
      </c>
      <c r="J16" s="7">
        <v>8.5642737896494153E-2</v>
      </c>
      <c r="K16" s="7">
        <v>4.9666110183639402E-2</v>
      </c>
      <c r="L16" s="7">
        <v>2.2454090150250416E-2</v>
      </c>
      <c r="M16" s="7"/>
      <c r="P16" s="2" t="s">
        <v>2</v>
      </c>
      <c r="Q16" s="7">
        <v>2.3166023166023165E-2</v>
      </c>
      <c r="R16" s="7">
        <v>6.0328185328185329E-3</v>
      </c>
      <c r="S16" s="7">
        <v>2.5337837837837839E-3</v>
      </c>
      <c r="T16" s="7">
        <v>0</v>
      </c>
      <c r="W16" s="2" t="s">
        <v>2</v>
      </c>
      <c r="X16" s="7">
        <v>5.6130478325146643E-2</v>
      </c>
      <c r="Y16" s="7">
        <v>5.2696838189708614E-3</v>
      </c>
      <c r="Z16" s="7">
        <v>1.0134007344174734E-2</v>
      </c>
      <c r="AA16" s="7">
        <v>5.0073918641804565E-4</v>
      </c>
      <c r="AF16" s="2" t="s">
        <v>2</v>
      </c>
      <c r="AG16" s="7">
        <v>0.1029678982434888</v>
      </c>
      <c r="AH16" s="7">
        <v>2.8467595396729255E-2</v>
      </c>
      <c r="AI16" s="7">
        <v>2.1199273167777106E-2</v>
      </c>
      <c r="AJ16" s="7">
        <v>0</v>
      </c>
      <c r="AN16" s="2" t="s">
        <v>2</v>
      </c>
      <c r="AO16" s="7">
        <v>3.0999369198882579E-2</v>
      </c>
      <c r="AP16" s="7">
        <v>9.8224745426691903E-3</v>
      </c>
      <c r="AQ16" s="7">
        <v>3.0638911417500223E-3</v>
      </c>
      <c r="AR16" s="7">
        <v>0</v>
      </c>
      <c r="AV16" s="2" t="s">
        <v>2</v>
      </c>
      <c r="AW16" s="7">
        <v>0.11922402027685709</v>
      </c>
      <c r="AX16" s="7">
        <v>6.5899785533242342E-2</v>
      </c>
      <c r="AY16" s="7">
        <v>1.2185611230259311E-2</v>
      </c>
      <c r="AZ16" s="7"/>
      <c r="BA16" s="7"/>
      <c r="BC16" s="2" t="s">
        <v>2</v>
      </c>
      <c r="BD16" s="7">
        <v>0.10051101062460939</v>
      </c>
      <c r="BE16" s="7">
        <v>4.0329399654424468E-2</v>
      </c>
      <c r="BF16" s="7">
        <v>1.5771478989743026E-2</v>
      </c>
      <c r="BG16" s="7"/>
    </row>
    <row r="41" spans="1:59" x14ac:dyDescent="0.25">
      <c r="A41" t="s">
        <v>29</v>
      </c>
      <c r="AF41" t="s">
        <v>29</v>
      </c>
      <c r="AN41" t="s">
        <v>29</v>
      </c>
      <c r="AU41" t="s">
        <v>29</v>
      </c>
      <c r="BB41" t="s">
        <v>29</v>
      </c>
    </row>
    <row r="43" spans="1:59" x14ac:dyDescent="0.25">
      <c r="B43" t="s">
        <v>122</v>
      </c>
      <c r="I43" t="s">
        <v>123</v>
      </c>
      <c r="Q43" t="s">
        <v>124</v>
      </c>
      <c r="X43" t="s">
        <v>125</v>
      </c>
      <c r="AG43" t="s">
        <v>126</v>
      </c>
      <c r="AO43" t="s">
        <v>127</v>
      </c>
      <c r="AV43" t="s">
        <v>128</v>
      </c>
      <c r="BC43" t="s">
        <v>129</v>
      </c>
    </row>
    <row r="45" spans="1:59" x14ac:dyDescent="0.25">
      <c r="C45" s="4" t="s">
        <v>34</v>
      </c>
      <c r="D45" s="4" t="s">
        <v>35</v>
      </c>
      <c r="E45" s="4" t="s">
        <v>36</v>
      </c>
      <c r="F45" s="4" t="s">
        <v>37</v>
      </c>
      <c r="J45" s="4" t="s">
        <v>34</v>
      </c>
      <c r="K45" s="4" t="s">
        <v>35</v>
      </c>
      <c r="L45" s="4" t="s">
        <v>36</v>
      </c>
      <c r="M45" s="4" t="s">
        <v>37</v>
      </c>
      <c r="R45" s="4" t="s">
        <v>34</v>
      </c>
      <c r="S45" s="4" t="s">
        <v>35</v>
      </c>
      <c r="T45" s="4" t="s">
        <v>36</v>
      </c>
      <c r="U45" s="4" t="s">
        <v>37</v>
      </c>
      <c r="V45" s="4"/>
      <c r="Y45" s="4" t="s">
        <v>34</v>
      </c>
      <c r="Z45" s="4" t="s">
        <v>35</v>
      </c>
      <c r="AA45" s="4" t="s">
        <v>36</v>
      </c>
      <c r="AB45" s="4" t="s">
        <v>37</v>
      </c>
      <c r="AC45" s="4"/>
      <c r="AH45" s="4" t="s">
        <v>34</v>
      </c>
      <c r="AI45" s="4" t="s">
        <v>35</v>
      </c>
      <c r="AJ45" s="4" t="s">
        <v>36</v>
      </c>
      <c r="AK45" s="4" t="s">
        <v>37</v>
      </c>
      <c r="AP45" s="4" t="s">
        <v>34</v>
      </c>
      <c r="AQ45" s="4" t="s">
        <v>35</v>
      </c>
      <c r="AR45" s="4" t="s">
        <v>36</v>
      </c>
      <c r="AS45" s="4" t="s">
        <v>37</v>
      </c>
      <c r="AT45" s="4"/>
      <c r="AW45" s="4" t="s">
        <v>34</v>
      </c>
      <c r="AX45" s="4" t="s">
        <v>35</v>
      </c>
      <c r="AY45" s="4" t="s">
        <v>36</v>
      </c>
      <c r="AZ45" s="4" t="s">
        <v>37</v>
      </c>
      <c r="BD45" s="4" t="s">
        <v>34</v>
      </c>
      <c r="BE45" s="4" t="s">
        <v>35</v>
      </c>
      <c r="BF45" s="4" t="s">
        <v>36</v>
      </c>
      <c r="BG45" s="4" t="s">
        <v>37</v>
      </c>
    </row>
    <row r="46" spans="1:59" x14ac:dyDescent="0.25">
      <c r="B46" s="2" t="s">
        <v>1</v>
      </c>
      <c r="C46" s="9">
        <v>38</v>
      </c>
      <c r="D46" s="9">
        <v>23</v>
      </c>
      <c r="E46" s="9"/>
      <c r="F46" s="9">
        <v>0</v>
      </c>
      <c r="I46" s="2" t="s">
        <v>1</v>
      </c>
      <c r="J46" s="9"/>
      <c r="K46" s="9"/>
      <c r="L46" s="9"/>
      <c r="M46" s="9">
        <v>0</v>
      </c>
      <c r="Q46" s="2" t="s">
        <v>1</v>
      </c>
      <c r="R46" s="9"/>
      <c r="S46" s="9"/>
      <c r="T46" s="9">
        <v>0</v>
      </c>
      <c r="U46" s="9">
        <v>0</v>
      </c>
      <c r="V46" s="9"/>
      <c r="X46" s="2" t="s">
        <v>1</v>
      </c>
      <c r="Y46" s="9">
        <v>49</v>
      </c>
      <c r="Z46" s="9"/>
      <c r="AA46" s="9"/>
      <c r="AB46" s="9"/>
      <c r="AC46" s="9"/>
      <c r="AG46" s="2" t="s">
        <v>1</v>
      </c>
      <c r="AH46" s="9">
        <v>0</v>
      </c>
      <c r="AI46" s="9">
        <v>0</v>
      </c>
      <c r="AJ46" s="9">
        <v>0</v>
      </c>
      <c r="AK46" s="9">
        <v>0</v>
      </c>
      <c r="AO46" s="2" t="s">
        <v>1</v>
      </c>
      <c r="AP46" s="9"/>
      <c r="AQ46" s="9"/>
      <c r="AR46" s="9">
        <v>0</v>
      </c>
      <c r="AS46" s="9">
        <v>0</v>
      </c>
      <c r="AT46" s="9"/>
      <c r="AV46" s="2" t="s">
        <v>1</v>
      </c>
      <c r="AW46" s="9"/>
      <c r="AX46" s="9"/>
      <c r="AY46" s="9"/>
      <c r="AZ46" s="9">
        <v>0</v>
      </c>
      <c r="BA46" s="7"/>
      <c r="BC46" s="2" t="s">
        <v>1</v>
      </c>
      <c r="BD46" s="9">
        <v>63</v>
      </c>
      <c r="BE46" s="9">
        <v>19</v>
      </c>
      <c r="BF46" s="9"/>
      <c r="BG46" s="9">
        <v>0</v>
      </c>
    </row>
    <row r="47" spans="1:59" ht="39.6" x14ac:dyDescent="0.25">
      <c r="B47" s="2" t="s">
        <v>17</v>
      </c>
      <c r="C47" s="9">
        <v>525</v>
      </c>
      <c r="D47" s="9">
        <v>495</v>
      </c>
      <c r="E47" s="9">
        <v>150</v>
      </c>
      <c r="F47" s="9"/>
      <c r="I47" s="2" t="s">
        <v>17</v>
      </c>
      <c r="J47" s="9">
        <v>148</v>
      </c>
      <c r="K47" s="9">
        <v>90</v>
      </c>
      <c r="L47" s="9">
        <v>28</v>
      </c>
      <c r="M47" s="9"/>
      <c r="Q47" s="2" t="s">
        <v>17</v>
      </c>
      <c r="R47" s="9"/>
      <c r="S47" s="9">
        <v>0</v>
      </c>
      <c r="T47" s="9">
        <v>0</v>
      </c>
      <c r="U47" s="9">
        <v>0</v>
      </c>
      <c r="V47" s="9"/>
      <c r="X47" s="2" t="s">
        <v>17</v>
      </c>
      <c r="Y47" s="9">
        <v>222</v>
      </c>
      <c r="Z47" s="9">
        <v>37</v>
      </c>
      <c r="AA47" s="9">
        <v>45</v>
      </c>
      <c r="AB47" s="9"/>
      <c r="AC47" s="9"/>
      <c r="AG47" s="2" t="s">
        <v>17</v>
      </c>
      <c r="AH47" s="9"/>
      <c r="AI47" s="9">
        <v>0</v>
      </c>
      <c r="AJ47" s="9">
        <v>0</v>
      </c>
      <c r="AK47" s="9"/>
      <c r="AO47" s="2" t="s">
        <v>17</v>
      </c>
      <c r="AP47" s="9">
        <v>11</v>
      </c>
      <c r="AQ47" s="9"/>
      <c r="AR47" s="9"/>
      <c r="AS47" s="9"/>
      <c r="AT47" s="9"/>
      <c r="AV47" s="2" t="s">
        <v>17</v>
      </c>
      <c r="AW47" s="9">
        <v>339</v>
      </c>
      <c r="AX47" s="9">
        <v>240</v>
      </c>
      <c r="AY47" s="9">
        <v>46</v>
      </c>
      <c r="AZ47" s="9"/>
      <c r="BA47" s="7"/>
      <c r="BC47" s="2" t="s">
        <v>17</v>
      </c>
      <c r="BD47" s="9">
        <v>760</v>
      </c>
      <c r="BE47" s="9">
        <v>333</v>
      </c>
      <c r="BF47" s="9">
        <v>113</v>
      </c>
      <c r="BG47" s="9">
        <v>0</v>
      </c>
    </row>
    <row r="48" spans="1:59" ht="26.4" x14ac:dyDescent="0.25">
      <c r="B48" s="2" t="s">
        <v>12</v>
      </c>
      <c r="C48" s="9">
        <v>2128</v>
      </c>
      <c r="D48" s="9">
        <v>1756</v>
      </c>
      <c r="E48" s="9">
        <v>623</v>
      </c>
      <c r="F48" s="9">
        <v>25</v>
      </c>
      <c r="I48" s="2" t="s">
        <v>12</v>
      </c>
      <c r="J48" s="9">
        <v>823</v>
      </c>
      <c r="K48" s="9">
        <v>478</v>
      </c>
      <c r="L48" s="9">
        <v>227</v>
      </c>
      <c r="M48" s="9"/>
      <c r="Q48" s="2" t="s">
        <v>12</v>
      </c>
      <c r="R48" s="9">
        <v>41</v>
      </c>
      <c r="S48" s="9"/>
      <c r="T48" s="9"/>
      <c r="U48" s="9">
        <v>0</v>
      </c>
      <c r="V48" s="9"/>
      <c r="X48" s="2" t="s">
        <v>12</v>
      </c>
      <c r="Y48" s="9">
        <v>707</v>
      </c>
      <c r="Z48" s="9">
        <v>71</v>
      </c>
      <c r="AA48" s="9">
        <v>131</v>
      </c>
      <c r="AB48" s="9"/>
      <c r="AC48" s="9"/>
      <c r="AG48" s="2" t="s">
        <v>12</v>
      </c>
      <c r="AH48" s="9">
        <v>32</v>
      </c>
      <c r="AI48" s="9">
        <v>13</v>
      </c>
      <c r="AJ48" s="9"/>
      <c r="AK48" s="9">
        <v>0</v>
      </c>
      <c r="AO48" s="2" t="s">
        <v>12</v>
      </c>
      <c r="AP48" s="9">
        <v>97</v>
      </c>
      <c r="AQ48" s="9">
        <v>38</v>
      </c>
      <c r="AR48" s="9">
        <v>12</v>
      </c>
      <c r="AS48" s="9">
        <v>0</v>
      </c>
      <c r="AT48" s="9"/>
      <c r="AV48" s="2" t="s">
        <v>12</v>
      </c>
      <c r="AW48" s="9">
        <v>739</v>
      </c>
      <c r="AX48" s="9">
        <v>362</v>
      </c>
      <c r="AY48" s="9">
        <v>65</v>
      </c>
      <c r="AZ48" s="9">
        <v>0</v>
      </c>
      <c r="BA48" s="7"/>
      <c r="BC48" s="2" t="s">
        <v>12</v>
      </c>
      <c r="BD48" s="9">
        <v>1432</v>
      </c>
      <c r="BE48" s="9">
        <v>543</v>
      </c>
      <c r="BF48" s="9">
        <v>240</v>
      </c>
      <c r="BG48" s="9"/>
    </row>
    <row r="49" spans="1:59" ht="26.4" x14ac:dyDescent="0.25">
      <c r="B49" s="2" t="s">
        <v>13</v>
      </c>
      <c r="C49" s="9">
        <v>88</v>
      </c>
      <c r="D49" s="9">
        <v>61</v>
      </c>
      <c r="E49" s="9">
        <v>19</v>
      </c>
      <c r="F49" s="9"/>
      <c r="I49" s="2" t="s">
        <v>13</v>
      </c>
      <c r="J49" s="9"/>
      <c r="K49" s="9"/>
      <c r="L49" s="9"/>
      <c r="M49" s="9"/>
      <c r="Q49" s="2" t="s">
        <v>13</v>
      </c>
      <c r="R49" s="9">
        <v>11</v>
      </c>
      <c r="S49" s="9"/>
      <c r="T49" s="9"/>
      <c r="U49" s="9">
        <v>0</v>
      </c>
      <c r="V49" s="9"/>
      <c r="X49" s="2" t="s">
        <v>13</v>
      </c>
      <c r="Y49" s="9">
        <v>114</v>
      </c>
      <c r="Z49" s="9">
        <v>11</v>
      </c>
      <c r="AA49" s="9">
        <v>21</v>
      </c>
      <c r="AB49" s="9"/>
      <c r="AC49" s="9"/>
      <c r="AG49" s="2" t="s">
        <v>13</v>
      </c>
      <c r="AH49" s="9"/>
      <c r="AI49" s="9">
        <v>0</v>
      </c>
      <c r="AJ49" s="9">
        <v>0</v>
      </c>
      <c r="AK49" s="9"/>
      <c r="AO49" s="2" t="s">
        <v>13</v>
      </c>
      <c r="AP49" s="9">
        <v>14</v>
      </c>
      <c r="AQ49" s="9"/>
      <c r="AR49" s="9"/>
      <c r="AS49" s="9"/>
      <c r="AT49" s="9"/>
      <c r="AV49" s="2" t="s">
        <v>13</v>
      </c>
      <c r="AW49" s="9">
        <v>40</v>
      </c>
      <c r="AX49" s="9">
        <v>20</v>
      </c>
      <c r="AY49" s="9"/>
      <c r="AZ49" s="9"/>
      <c r="BA49" s="7"/>
      <c r="BC49" s="2" t="s">
        <v>13</v>
      </c>
      <c r="BD49" s="9">
        <v>102</v>
      </c>
      <c r="BE49" s="9">
        <v>46</v>
      </c>
      <c r="BF49" s="9">
        <v>16</v>
      </c>
      <c r="BG49" s="9"/>
    </row>
    <row r="50" spans="1:59" x14ac:dyDescent="0.25">
      <c r="B50" s="2" t="s">
        <v>15</v>
      </c>
      <c r="C50" s="9">
        <v>596</v>
      </c>
      <c r="D50" s="9">
        <v>380</v>
      </c>
      <c r="E50" s="9">
        <v>128</v>
      </c>
      <c r="F50" s="9"/>
      <c r="I50" s="2" t="s">
        <v>15</v>
      </c>
      <c r="J50" s="9">
        <v>35</v>
      </c>
      <c r="K50" s="9">
        <v>17</v>
      </c>
      <c r="L50" s="9"/>
      <c r="M50" s="9"/>
      <c r="Q50" s="2" t="s">
        <v>15</v>
      </c>
      <c r="R50" s="9">
        <v>131</v>
      </c>
      <c r="S50" s="9">
        <v>38</v>
      </c>
      <c r="T50" s="9">
        <v>15</v>
      </c>
      <c r="U50" s="9">
        <v>0</v>
      </c>
      <c r="V50" s="9"/>
      <c r="X50" s="2" t="s">
        <v>15</v>
      </c>
      <c r="Y50" s="9">
        <v>1254</v>
      </c>
      <c r="Z50" s="9">
        <v>98</v>
      </c>
      <c r="AA50" s="9">
        <v>220</v>
      </c>
      <c r="AB50" s="9"/>
      <c r="AC50" s="9"/>
      <c r="AG50" s="2" t="s">
        <v>15</v>
      </c>
      <c r="AH50" s="9">
        <v>128</v>
      </c>
      <c r="AI50" s="9">
        <v>34</v>
      </c>
      <c r="AJ50" s="9">
        <v>27</v>
      </c>
      <c r="AK50" s="9"/>
      <c r="AO50" s="2" t="s">
        <v>15</v>
      </c>
      <c r="AP50" s="9">
        <v>216</v>
      </c>
      <c r="AQ50" s="9">
        <v>58</v>
      </c>
      <c r="AR50" s="9">
        <v>16</v>
      </c>
      <c r="AS50" s="9"/>
      <c r="AT50" s="9"/>
      <c r="AV50" s="2" t="s">
        <v>15</v>
      </c>
      <c r="AW50" s="9">
        <v>89</v>
      </c>
      <c r="AX50" s="9">
        <v>46</v>
      </c>
      <c r="AY50" s="9"/>
      <c r="AZ50" s="9"/>
      <c r="BA50" s="7"/>
      <c r="BC50" s="2" t="s">
        <v>15</v>
      </c>
      <c r="BD50" s="9">
        <v>365</v>
      </c>
      <c r="BE50" s="9">
        <v>153</v>
      </c>
      <c r="BF50" s="9">
        <v>51</v>
      </c>
      <c r="BG50" s="9">
        <v>0</v>
      </c>
    </row>
    <row r="51" spans="1:59" x14ac:dyDescent="0.25">
      <c r="B51" s="2" t="s">
        <v>2</v>
      </c>
      <c r="C51" s="9">
        <v>3383</v>
      </c>
      <c r="D51" s="9">
        <v>2722</v>
      </c>
      <c r="E51" s="9">
        <v>932</v>
      </c>
      <c r="F51" s="9">
        <v>32</v>
      </c>
      <c r="I51" s="2" t="s">
        <v>2</v>
      </c>
      <c r="J51" s="9">
        <v>1026</v>
      </c>
      <c r="K51" s="9">
        <v>595</v>
      </c>
      <c r="L51" s="9">
        <v>269</v>
      </c>
      <c r="M51" s="9"/>
      <c r="Q51" s="2" t="s">
        <v>2</v>
      </c>
      <c r="R51" s="9">
        <v>192</v>
      </c>
      <c r="S51" s="9">
        <v>50</v>
      </c>
      <c r="T51" s="9">
        <v>21</v>
      </c>
      <c r="U51" s="9">
        <v>0</v>
      </c>
      <c r="V51" s="9"/>
      <c r="X51" s="2" t="s">
        <v>2</v>
      </c>
      <c r="Y51" s="9">
        <v>2354</v>
      </c>
      <c r="Z51" s="9">
        <v>221</v>
      </c>
      <c r="AA51" s="9">
        <v>425</v>
      </c>
      <c r="AB51" s="9">
        <v>21</v>
      </c>
      <c r="AC51" s="9"/>
      <c r="AG51" s="2" t="s">
        <v>2</v>
      </c>
      <c r="AH51" s="9">
        <v>170</v>
      </c>
      <c r="AI51" s="9">
        <v>47</v>
      </c>
      <c r="AJ51" s="9">
        <v>35</v>
      </c>
      <c r="AK51" s="9">
        <v>0</v>
      </c>
      <c r="AO51" s="2" t="s">
        <v>2</v>
      </c>
      <c r="AP51" s="9">
        <v>344</v>
      </c>
      <c r="AQ51" s="9">
        <v>109</v>
      </c>
      <c r="AR51" s="9">
        <v>34</v>
      </c>
      <c r="AS51" s="9">
        <v>0</v>
      </c>
      <c r="AT51" s="9"/>
      <c r="AV51" s="2" t="s">
        <v>2</v>
      </c>
      <c r="AW51" s="9">
        <v>1223</v>
      </c>
      <c r="AX51" s="9">
        <v>676</v>
      </c>
      <c r="AY51" s="9">
        <v>125</v>
      </c>
      <c r="AZ51" s="9"/>
      <c r="BA51" s="7"/>
      <c r="BC51" s="2" t="s">
        <v>2</v>
      </c>
      <c r="BD51" s="9">
        <v>2734</v>
      </c>
      <c r="BE51" s="9">
        <v>1097</v>
      </c>
      <c r="BF51" s="9">
        <v>429</v>
      </c>
      <c r="BG51" s="9"/>
    </row>
    <row r="55" spans="1:59" x14ac:dyDescent="0.25">
      <c r="A55" t="s">
        <v>30</v>
      </c>
    </row>
    <row r="57" spans="1:59" x14ac:dyDescent="0.25">
      <c r="B57" t="s">
        <v>122</v>
      </c>
      <c r="I57" t="s">
        <v>123</v>
      </c>
      <c r="Q57" t="s">
        <v>124</v>
      </c>
      <c r="X57" t="s">
        <v>125</v>
      </c>
      <c r="AG57" t="s">
        <v>126</v>
      </c>
      <c r="AO57" t="s">
        <v>108</v>
      </c>
      <c r="AV57" t="s">
        <v>26</v>
      </c>
      <c r="BC57" t="s">
        <v>27</v>
      </c>
    </row>
    <row r="59" spans="1:59" x14ac:dyDescent="0.25">
      <c r="C59" s="4" t="s">
        <v>34</v>
      </c>
      <c r="D59" s="4" t="s">
        <v>35</v>
      </c>
      <c r="E59" s="4" t="s">
        <v>36</v>
      </c>
      <c r="F59" s="4" t="s">
        <v>37</v>
      </c>
      <c r="J59" s="4" t="s">
        <v>34</v>
      </c>
      <c r="K59" s="4" t="s">
        <v>35</v>
      </c>
      <c r="L59" s="4" t="s">
        <v>36</v>
      </c>
      <c r="M59" s="4" t="s">
        <v>37</v>
      </c>
      <c r="R59" s="4" t="s">
        <v>34</v>
      </c>
      <c r="S59" s="4" t="s">
        <v>35</v>
      </c>
      <c r="T59" s="4" t="s">
        <v>36</v>
      </c>
      <c r="U59" s="4" t="s">
        <v>37</v>
      </c>
      <c r="V59" s="4"/>
      <c r="Y59" s="4" t="s">
        <v>34</v>
      </c>
      <c r="Z59" s="4" t="s">
        <v>35</v>
      </c>
      <c r="AA59" s="4" t="s">
        <v>36</v>
      </c>
      <c r="AB59" s="4" t="s">
        <v>37</v>
      </c>
      <c r="AC59" s="4"/>
      <c r="AH59" s="4" t="s">
        <v>34</v>
      </c>
      <c r="AI59" s="4" t="s">
        <v>35</v>
      </c>
      <c r="AJ59" s="4" t="s">
        <v>36</v>
      </c>
      <c r="AK59" s="4" t="s">
        <v>37</v>
      </c>
      <c r="AP59" s="4" t="s">
        <v>34</v>
      </c>
      <c r="AQ59" s="4" t="s">
        <v>35</v>
      </c>
      <c r="AR59" s="4" t="s">
        <v>36</v>
      </c>
      <c r="AS59" s="4" t="s">
        <v>37</v>
      </c>
      <c r="AT59" s="4"/>
      <c r="AW59" s="4" t="s">
        <v>34</v>
      </c>
      <c r="AX59" s="4" t="s">
        <v>35</v>
      </c>
      <c r="AY59" s="4" t="s">
        <v>36</v>
      </c>
      <c r="AZ59" s="4" t="s">
        <v>37</v>
      </c>
      <c r="BD59" s="4" t="s">
        <v>34</v>
      </c>
      <c r="BE59" s="4" t="s">
        <v>35</v>
      </c>
      <c r="BF59" s="4" t="s">
        <v>36</v>
      </c>
      <c r="BG59" s="4" t="s">
        <v>37</v>
      </c>
    </row>
    <row r="60" spans="1:59" x14ac:dyDescent="0.25">
      <c r="B60" s="2" t="s">
        <v>1</v>
      </c>
      <c r="C60" s="7">
        <f>C46/$C$51</f>
        <v>1.1232633757020397E-2</v>
      </c>
      <c r="D60" s="7">
        <f>D46/$D$51</f>
        <v>8.4496693607641442E-3</v>
      </c>
      <c r="E60" s="7">
        <f>E46/$E$51</f>
        <v>0</v>
      </c>
      <c r="F60" s="7">
        <f>F46/$F$51</f>
        <v>0</v>
      </c>
      <c r="I60" s="2" t="s">
        <v>1</v>
      </c>
      <c r="J60" s="7">
        <f>J46/$J$51</f>
        <v>0</v>
      </c>
      <c r="K60" s="7">
        <f>K46/$K$51</f>
        <v>0</v>
      </c>
      <c r="L60" s="7">
        <f>L46/$L$51</f>
        <v>0</v>
      </c>
      <c r="M60" s="7"/>
      <c r="Q60" s="2" t="s">
        <v>1</v>
      </c>
      <c r="R60" s="7">
        <f>R46/$R$51</f>
        <v>0</v>
      </c>
      <c r="S60" s="7">
        <f>S46/$S$51</f>
        <v>0</v>
      </c>
      <c r="T60" s="7">
        <f>T46/$T$51</f>
        <v>0</v>
      </c>
      <c r="U60" s="7"/>
      <c r="V60" s="7"/>
      <c r="X60" s="2" t="s">
        <v>1</v>
      </c>
      <c r="Y60" s="7">
        <f>Y46/$Y$51</f>
        <v>2.0815632965165677E-2</v>
      </c>
      <c r="Z60" s="7">
        <f>Z46/$Z$51</f>
        <v>0</v>
      </c>
      <c r="AA60" s="7">
        <f>AA46/$AA$51</f>
        <v>0</v>
      </c>
      <c r="AB60" s="7"/>
      <c r="AC60" s="7"/>
      <c r="AG60" s="2" t="s">
        <v>1</v>
      </c>
      <c r="AH60" s="7">
        <f>AH46/$AH$51</f>
        <v>0</v>
      </c>
      <c r="AI60" s="7">
        <f>AI46/$AI$51</f>
        <v>0</v>
      </c>
      <c r="AJ60" s="7">
        <f>AJ46/$AJ$51</f>
        <v>0</v>
      </c>
      <c r="AK60" s="7"/>
      <c r="AO60" s="2" t="s">
        <v>1</v>
      </c>
      <c r="AP60" s="7">
        <f>AP46/$AP$51</f>
        <v>0</v>
      </c>
      <c r="AQ60" s="7">
        <f>AQ46/$AQ$51</f>
        <v>0</v>
      </c>
      <c r="AR60" s="7">
        <f>AR46/$AR$51</f>
        <v>0</v>
      </c>
      <c r="AS60" s="7"/>
      <c r="AT60" s="7"/>
      <c r="AV60" s="2" t="s">
        <v>1</v>
      </c>
      <c r="AW60" s="7">
        <f>AW46/$AW$51</f>
        <v>0</v>
      </c>
      <c r="AX60" s="7">
        <f>AX46/$AX$51</f>
        <v>0</v>
      </c>
      <c r="AY60" s="7">
        <f>AY46/$AY$51</f>
        <v>0</v>
      </c>
      <c r="AZ60" s="7"/>
      <c r="BA60" s="7"/>
      <c r="BC60" s="2" t="s">
        <v>1</v>
      </c>
      <c r="BD60" s="7">
        <f>BD46/$BD$51</f>
        <v>2.3043160204828092E-2</v>
      </c>
      <c r="BE60" s="7">
        <f>BE46/$BE$51</f>
        <v>1.7319963536918871E-2</v>
      </c>
      <c r="BF60" s="7">
        <f>BF46/$BF$51</f>
        <v>0</v>
      </c>
      <c r="BG60" s="7"/>
    </row>
    <row r="61" spans="1:59" ht="39.6" x14ac:dyDescent="0.25">
      <c r="B61" s="2" t="s">
        <v>17</v>
      </c>
      <c r="C61" s="7">
        <f>C47/$C$51</f>
        <v>0.15518770322199232</v>
      </c>
      <c r="D61" s="7">
        <f>D47/$D$51</f>
        <v>0.18185157972079352</v>
      </c>
      <c r="E61" s="7">
        <f>E47/$E$51</f>
        <v>0.1609442060085837</v>
      </c>
      <c r="F61" s="7">
        <f>F47/$F$51</f>
        <v>0</v>
      </c>
      <c r="I61" s="2" t="s">
        <v>17</v>
      </c>
      <c r="J61" s="7">
        <f>J47/$J$51</f>
        <v>0.14424951267056529</v>
      </c>
      <c r="K61" s="7">
        <f>K47/$K$51</f>
        <v>0.15126050420168066</v>
      </c>
      <c r="L61" s="7">
        <f>L47/$L$51</f>
        <v>0.10408921933085502</v>
      </c>
      <c r="M61" s="7"/>
      <c r="Q61" s="2" t="s">
        <v>17</v>
      </c>
      <c r="R61" s="7">
        <f>R47/$R$51</f>
        <v>0</v>
      </c>
      <c r="S61" s="7">
        <f>S47/$S$51</f>
        <v>0</v>
      </c>
      <c r="T61" s="7">
        <f>T47/$T$51</f>
        <v>0</v>
      </c>
      <c r="U61" s="7"/>
      <c r="V61" s="7"/>
      <c r="X61" s="2" t="s">
        <v>17</v>
      </c>
      <c r="Y61" s="7">
        <f>Y47/$Y$51</f>
        <v>9.4307561597281223E-2</v>
      </c>
      <c r="Z61" s="7">
        <f>Z47/$Z$51</f>
        <v>0.167420814479638</v>
      </c>
      <c r="AA61" s="7">
        <f>AA47/$AA$51</f>
        <v>0.10588235294117647</v>
      </c>
      <c r="AB61" s="7"/>
      <c r="AC61" s="7"/>
      <c r="AG61" s="2" t="s">
        <v>17</v>
      </c>
      <c r="AH61" s="7">
        <f>AH47/$AH$51</f>
        <v>0</v>
      </c>
      <c r="AI61" s="7">
        <f>AI47/$AI$51</f>
        <v>0</v>
      </c>
      <c r="AJ61" s="7">
        <f>AJ47/$AJ$51</f>
        <v>0</v>
      </c>
      <c r="AK61" s="7"/>
      <c r="AO61" s="2" t="s">
        <v>17</v>
      </c>
      <c r="AP61" s="7">
        <f>AP47/$AP$51</f>
        <v>3.1976744186046513E-2</v>
      </c>
      <c r="AQ61" s="7">
        <f>AQ47/$AQ$51</f>
        <v>0</v>
      </c>
      <c r="AR61" s="7">
        <f>AR47/$AR$51</f>
        <v>0</v>
      </c>
      <c r="AS61" s="7"/>
      <c r="AT61" s="7"/>
      <c r="AV61" s="2" t="s">
        <v>17</v>
      </c>
      <c r="AW61" s="7">
        <f>AW47/$AW$51</f>
        <v>0.27718724448078497</v>
      </c>
      <c r="AX61" s="7">
        <f>AX47/$AX$51</f>
        <v>0.35502958579881655</v>
      </c>
      <c r="AY61" s="7">
        <f>AY47/$AY$51</f>
        <v>0.36799999999999999</v>
      </c>
      <c r="AZ61" s="7"/>
      <c r="BA61" s="7"/>
      <c r="BC61" s="2" t="s">
        <v>17</v>
      </c>
      <c r="BD61" s="7">
        <f>BD47/$BD$51</f>
        <v>0.27798098024871981</v>
      </c>
      <c r="BE61" s="7">
        <f>BE47/$BE$51</f>
        <v>0.30355515041020964</v>
      </c>
      <c r="BF61" s="7">
        <f>BF47/$BF$51</f>
        <v>0.26340326340326342</v>
      </c>
      <c r="BG61" s="7"/>
    </row>
    <row r="62" spans="1:59" ht="26.4" x14ac:dyDescent="0.25">
      <c r="B62" s="2" t="s">
        <v>12</v>
      </c>
      <c r="C62" s="7">
        <f>C48/$C$51</f>
        <v>0.62902749039314221</v>
      </c>
      <c r="D62" s="7">
        <f>D48/$D$51</f>
        <v>0.64511388684790594</v>
      </c>
      <c r="E62" s="7">
        <f>E48/$E$51</f>
        <v>0.66845493562231761</v>
      </c>
      <c r="F62" s="7">
        <f>F48/$F$51</f>
        <v>0.78125</v>
      </c>
      <c r="I62" s="2" t="s">
        <v>12</v>
      </c>
      <c r="J62" s="7">
        <f>J48/$J$51</f>
        <v>0.8021442495126706</v>
      </c>
      <c r="K62" s="7">
        <f>K48/$K$51</f>
        <v>0.80336134453781516</v>
      </c>
      <c r="L62" s="7">
        <f>L48/$L$51</f>
        <v>0.84386617100371752</v>
      </c>
      <c r="M62" s="7"/>
      <c r="Q62" s="2" t="s">
        <v>12</v>
      </c>
      <c r="R62" s="7">
        <f>R48/$R$51</f>
        <v>0.21354166666666666</v>
      </c>
      <c r="S62" s="7">
        <f>S48/$S$51</f>
        <v>0</v>
      </c>
      <c r="T62" s="7">
        <f>T48/$T$51</f>
        <v>0</v>
      </c>
      <c r="U62" s="7"/>
      <c r="V62" s="7"/>
      <c r="X62" s="2" t="s">
        <v>12</v>
      </c>
      <c r="Y62" s="7">
        <f>Y48/$Y$51</f>
        <v>0.30033984706881905</v>
      </c>
      <c r="Z62" s="7">
        <f>Z48/$Z$51</f>
        <v>0.32126696832579188</v>
      </c>
      <c r="AA62" s="7">
        <f>AA48/$AA$51</f>
        <v>0.30823529411764705</v>
      </c>
      <c r="AB62" s="7"/>
      <c r="AC62" s="7"/>
      <c r="AG62" s="2" t="s">
        <v>12</v>
      </c>
      <c r="AH62" s="7">
        <f>AH48/$AH$51</f>
        <v>0.18823529411764706</v>
      </c>
      <c r="AI62" s="7">
        <f>AI48/$AI$51</f>
        <v>0.27659574468085107</v>
      </c>
      <c r="AJ62" s="7">
        <f>AJ48/$AJ$51</f>
        <v>0</v>
      </c>
      <c r="AK62" s="7"/>
      <c r="AO62" s="2" t="s">
        <v>12</v>
      </c>
      <c r="AP62" s="7">
        <f>AP48/$AP$51</f>
        <v>0.28197674418604651</v>
      </c>
      <c r="AQ62" s="7">
        <f>AQ48/$AQ$51</f>
        <v>0.34862385321100919</v>
      </c>
      <c r="AR62" s="7">
        <f>AR48/$AR$51</f>
        <v>0.35294117647058826</v>
      </c>
      <c r="AS62" s="7"/>
      <c r="AT62" s="7"/>
      <c r="AV62" s="2" t="s">
        <v>12</v>
      </c>
      <c r="AW62" s="7">
        <f>AW48/$AW$51</f>
        <v>0.60425183973834828</v>
      </c>
      <c r="AX62" s="7">
        <f>AX48/$AX$51</f>
        <v>0.53550295857988162</v>
      </c>
      <c r="AY62" s="7">
        <f>AY48/$AY$51</f>
        <v>0.52</v>
      </c>
      <c r="AZ62" s="7"/>
      <c r="BA62" s="7"/>
      <c r="BC62" s="2" t="s">
        <v>12</v>
      </c>
      <c r="BD62" s="7">
        <f>BD48/$BD$51</f>
        <v>0.5237746891002194</v>
      </c>
      <c r="BE62" s="7">
        <f>BE48/$BE$51</f>
        <v>0.49498632634457612</v>
      </c>
      <c r="BF62" s="7">
        <f>BF48/$BF$51</f>
        <v>0.55944055944055948</v>
      </c>
      <c r="BG62" s="7"/>
    </row>
    <row r="63" spans="1:59" ht="26.4" x14ac:dyDescent="0.25">
      <c r="B63" s="2" t="s">
        <v>13</v>
      </c>
      <c r="C63" s="7">
        <f>C49/$C$51</f>
        <v>2.601241501625776E-2</v>
      </c>
      <c r="D63" s="7">
        <f>D49/$D$51</f>
        <v>2.2409992652461425E-2</v>
      </c>
      <c r="E63" s="7">
        <f>E49/$E$51</f>
        <v>2.03862660944206E-2</v>
      </c>
      <c r="F63" s="7">
        <f>F49/$F$51</f>
        <v>0</v>
      </c>
      <c r="I63" s="2" t="s">
        <v>13</v>
      </c>
      <c r="J63" s="7">
        <f>J49/$J$51</f>
        <v>0</v>
      </c>
      <c r="K63" s="7">
        <f>K49/$K$51</f>
        <v>0</v>
      </c>
      <c r="L63" s="7">
        <f>L49/$L$51</f>
        <v>0</v>
      </c>
      <c r="M63" s="7"/>
      <c r="Q63" s="2" t="s">
        <v>13</v>
      </c>
      <c r="R63" s="7">
        <f>R49/$R$51</f>
        <v>5.7291666666666664E-2</v>
      </c>
      <c r="S63" s="7">
        <f>S49/$S$51</f>
        <v>0</v>
      </c>
      <c r="T63" s="7">
        <f>T49/$T$51</f>
        <v>0</v>
      </c>
      <c r="U63" s="7"/>
      <c r="V63" s="7"/>
      <c r="X63" s="2" t="s">
        <v>13</v>
      </c>
      <c r="Y63" s="7">
        <f>Y49/$Y$51</f>
        <v>4.8428207306711976E-2</v>
      </c>
      <c r="Z63" s="7">
        <f>Z49/$Z$51</f>
        <v>4.9773755656108594E-2</v>
      </c>
      <c r="AA63" s="7">
        <f>AA49/$AA$51</f>
        <v>4.9411764705882349E-2</v>
      </c>
      <c r="AB63" s="7"/>
      <c r="AC63" s="7"/>
      <c r="AG63" s="2" t="s">
        <v>13</v>
      </c>
      <c r="AH63" s="7">
        <f>AH49/$AH$51</f>
        <v>0</v>
      </c>
      <c r="AI63" s="7">
        <f>AI49/$AI$51</f>
        <v>0</v>
      </c>
      <c r="AJ63" s="7">
        <f>AJ49/$AJ$51</f>
        <v>0</v>
      </c>
      <c r="AK63" s="7"/>
      <c r="AO63" s="2" t="s">
        <v>13</v>
      </c>
      <c r="AP63" s="7">
        <f>AP49/$AP$51</f>
        <v>4.0697674418604654E-2</v>
      </c>
      <c r="AQ63" s="7">
        <f>AQ49/$AQ$51</f>
        <v>0</v>
      </c>
      <c r="AR63" s="7">
        <f>AR49/$AR$51</f>
        <v>0</v>
      </c>
      <c r="AS63" s="7"/>
      <c r="AT63" s="7"/>
      <c r="AV63" s="2" t="s">
        <v>13</v>
      </c>
      <c r="AW63" s="7">
        <f>AW49/$AW$51</f>
        <v>3.2706459525756335E-2</v>
      </c>
      <c r="AX63" s="7">
        <f>AX49/$AX$51</f>
        <v>2.9585798816568046E-2</v>
      </c>
      <c r="AY63" s="7">
        <f>AY49/$AY$51</f>
        <v>0</v>
      </c>
      <c r="AZ63" s="7"/>
      <c r="BA63" s="7"/>
      <c r="BC63" s="2" t="s">
        <v>13</v>
      </c>
      <c r="BD63" s="7">
        <f>BD49/$BD$51</f>
        <v>3.7307973664959769E-2</v>
      </c>
      <c r="BE63" s="7">
        <f>BE49/$BE$51</f>
        <v>4.1932543299908843E-2</v>
      </c>
      <c r="BF63" s="7">
        <f>BF49/$BF$51</f>
        <v>3.7296037296037296E-2</v>
      </c>
      <c r="BG63" s="7"/>
    </row>
    <row r="64" spans="1:59" x14ac:dyDescent="0.25">
      <c r="B64" s="2" t="s">
        <v>15</v>
      </c>
      <c r="C64" s="7">
        <f>C50/$C$51</f>
        <v>0.17617499261010938</v>
      </c>
      <c r="D64" s="7">
        <f>D50/$D$51</f>
        <v>0.13960323291697282</v>
      </c>
      <c r="E64" s="7">
        <f>E50/$E$51</f>
        <v>0.13733905579399142</v>
      </c>
      <c r="F64" s="7">
        <f>F50/$F$51</f>
        <v>0</v>
      </c>
      <c r="I64" s="2" t="s">
        <v>15</v>
      </c>
      <c r="J64" s="7">
        <f>J50/$J$51</f>
        <v>3.4113060428849901E-2</v>
      </c>
      <c r="K64" s="7">
        <f>K50/$K$51</f>
        <v>2.8571428571428571E-2</v>
      </c>
      <c r="L64" s="7">
        <f>L50/$L$51</f>
        <v>0</v>
      </c>
      <c r="M64" s="7"/>
      <c r="Q64" s="2" t="s">
        <v>15</v>
      </c>
      <c r="R64" s="7">
        <f>R50/$R$51</f>
        <v>0.68229166666666663</v>
      </c>
      <c r="S64" s="7">
        <f>S50/$S$51</f>
        <v>0.76</v>
      </c>
      <c r="T64" s="7">
        <f>T50/$T$51</f>
        <v>0.7142857142857143</v>
      </c>
      <c r="U64" s="7"/>
      <c r="V64" s="7"/>
      <c r="X64" s="2" t="s">
        <v>15</v>
      </c>
      <c r="Y64" s="7">
        <f>Y50/$Y$51</f>
        <v>0.53271028037383172</v>
      </c>
      <c r="Z64" s="7">
        <f>Z50/$Z$51</f>
        <v>0.4434389140271493</v>
      </c>
      <c r="AA64" s="7">
        <f>AA50/$AA$51</f>
        <v>0.51764705882352946</v>
      </c>
      <c r="AB64" s="7"/>
      <c r="AC64" s="7"/>
      <c r="AG64" s="2" t="s">
        <v>15</v>
      </c>
      <c r="AH64" s="7">
        <f>AH50/$AH$51</f>
        <v>0.75294117647058822</v>
      </c>
      <c r="AI64" s="7">
        <f>AI50/$AI$51</f>
        <v>0.72340425531914898</v>
      </c>
      <c r="AJ64" s="7">
        <f>AJ50/$AJ$51</f>
        <v>0.77142857142857146</v>
      </c>
      <c r="AK64" s="7"/>
      <c r="AO64" s="2" t="s">
        <v>15</v>
      </c>
      <c r="AP64" s="7">
        <f>AP50/$AP$51</f>
        <v>0.62790697674418605</v>
      </c>
      <c r="AQ64" s="7">
        <f>AQ50/$AQ$51</f>
        <v>0.5321100917431193</v>
      </c>
      <c r="AR64" s="7">
        <f>AR50/$AR$51</f>
        <v>0.47058823529411764</v>
      </c>
      <c r="AS64" s="7"/>
      <c r="AT64" s="7"/>
      <c r="AV64" s="2" t="s">
        <v>15</v>
      </c>
      <c r="AW64" s="7">
        <f>AW50/$AW$51</f>
        <v>7.2771872444807845E-2</v>
      </c>
      <c r="AX64" s="7">
        <f>AX50/$AX$51</f>
        <v>6.8047337278106509E-2</v>
      </c>
      <c r="AY64" s="7">
        <f>AY50/$AY$51</f>
        <v>0</v>
      </c>
      <c r="AZ64" s="7"/>
      <c r="BA64" s="7"/>
      <c r="BC64" s="2" t="s">
        <v>15</v>
      </c>
      <c r="BD64" s="7">
        <f>BD50/$BD$51</f>
        <v>0.13350402340892464</v>
      </c>
      <c r="BE64" s="7">
        <f>BE50/$BE$51</f>
        <v>0.13947128532360983</v>
      </c>
      <c r="BF64" s="7">
        <f>BF50/$BF$51</f>
        <v>0.11888111888111888</v>
      </c>
      <c r="BG64" s="7"/>
    </row>
    <row r="65" spans="1:59" x14ac:dyDescent="0.25">
      <c r="AW65" s="7"/>
    </row>
    <row r="67" spans="1:59" x14ac:dyDescent="0.25">
      <c r="A67" t="s">
        <v>38</v>
      </c>
      <c r="W67" t="s">
        <v>38</v>
      </c>
      <c r="AF67" t="s">
        <v>38</v>
      </c>
      <c r="AN67" t="s">
        <v>38</v>
      </c>
      <c r="AU67" t="s">
        <v>38</v>
      </c>
      <c r="BB67" t="s">
        <v>38</v>
      </c>
    </row>
    <row r="69" spans="1:59" x14ac:dyDescent="0.25">
      <c r="B69" t="s">
        <v>122</v>
      </c>
      <c r="I69" t="s">
        <v>123</v>
      </c>
      <c r="Q69" t="s">
        <v>124</v>
      </c>
      <c r="X69" t="s">
        <v>125</v>
      </c>
      <c r="AG69" t="s">
        <v>126</v>
      </c>
      <c r="AO69" t="s">
        <v>127</v>
      </c>
      <c r="AV69" t="s">
        <v>128</v>
      </c>
      <c r="BC69" t="s">
        <v>129</v>
      </c>
    </row>
    <row r="71" spans="1:59" x14ac:dyDescent="0.25">
      <c r="C71" s="4" t="s">
        <v>39</v>
      </c>
      <c r="D71" s="4" t="s">
        <v>40</v>
      </c>
      <c r="E71" s="4"/>
      <c r="F71" s="4"/>
      <c r="J71" s="4" t="s">
        <v>39</v>
      </c>
      <c r="K71" s="4" t="s">
        <v>40</v>
      </c>
      <c r="L71" s="4"/>
      <c r="M71" s="4"/>
      <c r="R71" s="4" t="s">
        <v>39</v>
      </c>
      <c r="S71" s="4" t="s">
        <v>40</v>
      </c>
      <c r="Y71" s="4" t="s">
        <v>39</v>
      </c>
      <c r="Z71" s="4" t="s">
        <v>40</v>
      </c>
      <c r="AH71" s="4" t="s">
        <v>39</v>
      </c>
      <c r="AI71" s="4" t="s">
        <v>40</v>
      </c>
      <c r="AP71" s="4" t="s">
        <v>39</v>
      </c>
      <c r="AQ71" s="4" t="s">
        <v>40</v>
      </c>
      <c r="AW71" s="4" t="s">
        <v>39</v>
      </c>
      <c r="AX71" s="4" t="s">
        <v>40</v>
      </c>
      <c r="AY71" s="4"/>
      <c r="AZ71" s="4"/>
      <c r="BD71" s="4" t="s">
        <v>39</v>
      </c>
      <c r="BE71" s="4" t="s">
        <v>40</v>
      </c>
      <c r="BF71" s="4"/>
      <c r="BG71" s="4"/>
    </row>
    <row r="72" spans="1:59" x14ac:dyDescent="0.25">
      <c r="B72" s="2" t="s">
        <v>1</v>
      </c>
      <c r="C72" s="9">
        <v>3779</v>
      </c>
      <c r="D72" s="6">
        <f>C72/$C$77</f>
        <v>4.4074082713256045E-2</v>
      </c>
      <c r="E72" s="9"/>
      <c r="F72" s="9"/>
      <c r="I72" s="2" t="s">
        <v>1</v>
      </c>
      <c r="J72" s="9">
        <v>83</v>
      </c>
      <c r="K72" s="6">
        <f t="shared" ref="K72:K77" si="0">J72/$J$77</f>
        <v>6.928213689482471E-3</v>
      </c>
      <c r="L72" s="9"/>
      <c r="M72" s="9"/>
      <c r="Q72" s="2" t="s">
        <v>1</v>
      </c>
      <c r="R72" s="9">
        <v>1071</v>
      </c>
      <c r="S72" s="6">
        <f t="shared" ref="S72:S77" si="1">R72/$R$77</f>
        <v>0.12922297297297297</v>
      </c>
      <c r="X72" s="2" t="s">
        <v>1</v>
      </c>
      <c r="Y72" s="9">
        <v>3559</v>
      </c>
      <c r="Z72" s="6">
        <f t="shared" ref="Z72:Z77" si="2">Y72/$Y$77</f>
        <v>8.4863369736277366E-2</v>
      </c>
      <c r="AG72" s="2" t="s">
        <v>1</v>
      </c>
      <c r="AH72" s="9">
        <v>12</v>
      </c>
      <c r="AI72" s="6">
        <f t="shared" ref="AI72:AI77" si="3">AH72/$AH$77</f>
        <v>7.2683222289521504E-3</v>
      </c>
      <c r="AO72" s="2" t="s">
        <v>1</v>
      </c>
      <c r="AP72" s="9">
        <v>686</v>
      </c>
      <c r="AQ72" s="6">
        <f t="shared" ref="AQ72:AQ77" si="4">AP72/$AP$77</f>
        <v>6.1818509507073981E-2</v>
      </c>
      <c r="AV72" s="2" t="s">
        <v>1</v>
      </c>
      <c r="AW72" s="9">
        <v>385</v>
      </c>
      <c r="AX72" s="6">
        <f t="shared" ref="AX72:AX77" si="5">AW72/$AW$77</f>
        <v>3.7531682589198673E-2</v>
      </c>
      <c r="AY72" s="9"/>
      <c r="AZ72" s="9"/>
      <c r="BA72" s="7"/>
      <c r="BC72" s="2" t="s">
        <v>1</v>
      </c>
      <c r="BD72" s="9">
        <v>2147</v>
      </c>
      <c r="BE72" s="6">
        <f t="shared" ref="BE72:BE77" si="6">BD72/$BD$77</f>
        <v>7.8930921657292014E-2</v>
      </c>
      <c r="BF72" s="9"/>
      <c r="BG72" s="9"/>
    </row>
    <row r="73" spans="1:59" ht="39.6" x14ac:dyDescent="0.25">
      <c r="B73" s="2" t="s">
        <v>17</v>
      </c>
      <c r="C73" s="9">
        <v>6536</v>
      </c>
      <c r="D73" s="6">
        <f t="shared" ref="D73:D77" si="7">C73/$C$77</f>
        <v>7.6228686058174525E-2</v>
      </c>
      <c r="E73" s="9"/>
      <c r="F73" s="9"/>
      <c r="I73" s="2" t="s">
        <v>17</v>
      </c>
      <c r="J73" s="9">
        <v>1055</v>
      </c>
      <c r="K73" s="6">
        <f t="shared" si="0"/>
        <v>8.8063439065108509E-2</v>
      </c>
      <c r="L73" s="9"/>
      <c r="M73" s="9"/>
      <c r="Q73" s="2" t="s">
        <v>17</v>
      </c>
      <c r="R73" s="9">
        <v>67</v>
      </c>
      <c r="S73" s="6">
        <f t="shared" si="1"/>
        <v>8.0839768339768334E-3</v>
      </c>
      <c r="X73" s="2" t="s">
        <v>17</v>
      </c>
      <c r="Y73" s="9">
        <v>1827</v>
      </c>
      <c r="Z73" s="6">
        <f t="shared" si="2"/>
        <v>4.3564309218369977E-2</v>
      </c>
      <c r="AG73" s="2" t="s">
        <v>17</v>
      </c>
      <c r="AH73" s="9"/>
      <c r="AI73" s="6">
        <f t="shared" si="3"/>
        <v>0</v>
      </c>
      <c r="AO73" s="2" t="s">
        <v>17</v>
      </c>
      <c r="AP73" s="9">
        <v>167</v>
      </c>
      <c r="AQ73" s="6">
        <f t="shared" si="4"/>
        <v>1.5049112372713346E-2</v>
      </c>
      <c r="AV73" s="2" t="s">
        <v>17</v>
      </c>
      <c r="AW73" s="9">
        <v>2088</v>
      </c>
      <c r="AX73" s="6">
        <f t="shared" si="5"/>
        <v>0.20354844999025151</v>
      </c>
      <c r="AY73" s="9"/>
      <c r="AZ73" s="9"/>
      <c r="BA73" s="7"/>
      <c r="BC73" s="2" t="s">
        <v>17</v>
      </c>
      <c r="BD73" s="9">
        <v>4290</v>
      </c>
      <c r="BE73" s="6">
        <f t="shared" si="6"/>
        <v>0.15771478989743024</v>
      </c>
      <c r="BF73" s="9"/>
      <c r="BG73" s="9"/>
    </row>
    <row r="74" spans="1:59" ht="26.4" x14ac:dyDescent="0.25">
      <c r="B74" s="2" t="s">
        <v>12</v>
      </c>
      <c r="C74" s="9">
        <v>48071</v>
      </c>
      <c r="D74" s="6">
        <f t="shared" si="7"/>
        <v>0.56064705745142407</v>
      </c>
      <c r="E74" s="9"/>
      <c r="F74" s="9"/>
      <c r="I74" s="2" t="s">
        <v>12</v>
      </c>
      <c r="J74" s="9">
        <v>10109</v>
      </c>
      <c r="K74" s="6">
        <f t="shared" si="0"/>
        <v>0.84382303839732886</v>
      </c>
      <c r="L74" s="9"/>
      <c r="M74" s="9"/>
      <c r="Q74" s="2" t="s">
        <v>12</v>
      </c>
      <c r="R74" s="9">
        <v>1073</v>
      </c>
      <c r="S74" s="6">
        <f t="shared" si="1"/>
        <v>0.12946428571428573</v>
      </c>
      <c r="X74" s="2" t="s">
        <v>12</v>
      </c>
      <c r="Y74" s="9">
        <v>10909</v>
      </c>
      <c r="Z74" s="6">
        <f t="shared" si="2"/>
        <v>0.26012208498259337</v>
      </c>
      <c r="AG74" s="2" t="s">
        <v>12</v>
      </c>
      <c r="AH74" s="9">
        <v>389</v>
      </c>
      <c r="AI74" s="6">
        <f t="shared" si="3"/>
        <v>0.23561477892186553</v>
      </c>
      <c r="AO74" s="2" t="s">
        <v>12</v>
      </c>
      <c r="AP74" s="9">
        <v>2258</v>
      </c>
      <c r="AQ74" s="6">
        <f t="shared" si="4"/>
        <v>0.20347841759033974</v>
      </c>
      <c r="AV74" s="2" t="s">
        <v>12</v>
      </c>
      <c r="AW74" s="9">
        <v>6679</v>
      </c>
      <c r="AX74" s="6">
        <f t="shared" si="5"/>
        <v>0.65110157925521539</v>
      </c>
      <c r="AY74" s="9"/>
      <c r="AZ74" s="9"/>
      <c r="BA74" s="7"/>
      <c r="BC74" s="2" t="s">
        <v>12</v>
      </c>
      <c r="BD74" s="9">
        <v>13235</v>
      </c>
      <c r="BE74" s="6">
        <f t="shared" si="6"/>
        <v>0.48656299400757325</v>
      </c>
      <c r="BF74" s="9"/>
      <c r="BG74" s="9"/>
    </row>
    <row r="75" spans="1:59" ht="26.4" x14ac:dyDescent="0.25">
      <c r="B75" s="2" t="s">
        <v>13</v>
      </c>
      <c r="C75" s="9">
        <v>2724</v>
      </c>
      <c r="D75" s="6">
        <f t="shared" si="7"/>
        <v>3.1769727788015206E-2</v>
      </c>
      <c r="E75" s="9"/>
      <c r="F75" s="9"/>
      <c r="I75" s="2" t="s">
        <v>13</v>
      </c>
      <c r="J75" s="9">
        <v>181</v>
      </c>
      <c r="K75" s="6">
        <f t="shared" si="0"/>
        <v>1.5108514190317196E-2</v>
      </c>
      <c r="L75" s="9"/>
      <c r="M75" s="9"/>
      <c r="Q75" s="2" t="s">
        <v>13</v>
      </c>
      <c r="R75" s="9">
        <v>403</v>
      </c>
      <c r="S75" s="6">
        <f t="shared" si="1"/>
        <v>4.8624517374517374E-2</v>
      </c>
      <c r="X75" s="2" t="s">
        <v>13</v>
      </c>
      <c r="Y75" s="9">
        <v>2180</v>
      </c>
      <c r="Z75" s="6">
        <f t="shared" si="2"/>
        <v>5.1981496494825696E-2</v>
      </c>
      <c r="AG75" s="2" t="s">
        <v>13</v>
      </c>
      <c r="AH75" s="9">
        <v>74</v>
      </c>
      <c r="AI75" s="6">
        <f t="shared" si="3"/>
        <v>4.482132041187159E-2</v>
      </c>
      <c r="AO75" s="2" t="s">
        <v>13</v>
      </c>
      <c r="AP75" s="9">
        <v>538</v>
      </c>
      <c r="AQ75" s="6">
        <f t="shared" si="4"/>
        <v>4.848157159592683E-2</v>
      </c>
      <c r="AV75" s="2" t="s">
        <v>13</v>
      </c>
      <c r="AW75" s="9">
        <v>297</v>
      </c>
      <c r="AX75" s="6">
        <f t="shared" si="5"/>
        <v>2.895301228309612E-2</v>
      </c>
      <c r="AY75" s="9"/>
      <c r="AZ75" s="9"/>
      <c r="BA75" s="7"/>
      <c r="BC75" s="2" t="s">
        <v>13</v>
      </c>
      <c r="BD75" s="9">
        <v>1241</v>
      </c>
      <c r="BE75" s="6">
        <f t="shared" si="6"/>
        <v>4.5623322671960592E-2</v>
      </c>
      <c r="BF75" s="9"/>
      <c r="BG75" s="9"/>
    </row>
    <row r="76" spans="1:59" x14ac:dyDescent="0.25">
      <c r="B76" s="2" t="s">
        <v>15</v>
      </c>
      <c r="C76" s="9">
        <v>24446</v>
      </c>
      <c r="D76" s="6">
        <f t="shared" si="7"/>
        <v>0.28511114739567539</v>
      </c>
      <c r="E76" s="9"/>
      <c r="F76" s="9"/>
      <c r="I76" s="2" t="s">
        <v>15</v>
      </c>
      <c r="J76" s="9">
        <v>533</v>
      </c>
      <c r="K76" s="6">
        <f t="shared" si="0"/>
        <v>4.4490818030050082E-2</v>
      </c>
      <c r="L76" s="9"/>
      <c r="M76" s="9"/>
      <c r="Q76" s="2" t="s">
        <v>15</v>
      </c>
      <c r="R76" s="9">
        <v>5651</v>
      </c>
      <c r="S76" s="6">
        <f t="shared" si="1"/>
        <v>0.68182915057915061</v>
      </c>
      <c r="X76" s="2" t="s">
        <v>15</v>
      </c>
      <c r="Y76" s="9">
        <v>23295</v>
      </c>
      <c r="Z76" s="6">
        <f t="shared" si="2"/>
        <v>0.55546282607658926</v>
      </c>
      <c r="AG76" s="2" t="s">
        <v>15</v>
      </c>
      <c r="AH76" s="9">
        <v>1155</v>
      </c>
      <c r="AI76" s="6">
        <f t="shared" si="3"/>
        <v>0.69957601453664442</v>
      </c>
      <c r="AO76" s="2" t="s">
        <v>15</v>
      </c>
      <c r="AP76" s="9">
        <v>7413</v>
      </c>
      <c r="AQ76" s="6">
        <f t="shared" si="4"/>
        <v>0.66801838334685049</v>
      </c>
      <c r="AV76" s="2" t="s">
        <v>15</v>
      </c>
      <c r="AW76" s="9">
        <v>776</v>
      </c>
      <c r="AX76" s="6">
        <f t="shared" si="5"/>
        <v>7.5648274517449793E-2</v>
      </c>
      <c r="AY76" s="9"/>
      <c r="AZ76" s="9"/>
      <c r="BA76" s="7"/>
      <c r="BC76" s="2" t="s">
        <v>15</v>
      </c>
      <c r="BD76" s="9">
        <v>6175</v>
      </c>
      <c r="BE76" s="6">
        <f t="shared" si="6"/>
        <v>0.22701371273114959</v>
      </c>
      <c r="BF76" s="9"/>
      <c r="BG76" s="9"/>
    </row>
    <row r="77" spans="1:59" x14ac:dyDescent="0.25">
      <c r="B77" s="2" t="s">
        <v>2</v>
      </c>
      <c r="C77" s="9">
        <v>85742</v>
      </c>
      <c r="D77" s="6">
        <f t="shared" si="7"/>
        <v>1</v>
      </c>
      <c r="E77" s="9"/>
      <c r="F77" s="9"/>
      <c r="I77" s="2" t="s">
        <v>2</v>
      </c>
      <c r="J77" s="9">
        <v>11980</v>
      </c>
      <c r="K77" s="6">
        <f t="shared" si="0"/>
        <v>1</v>
      </c>
      <c r="L77" s="9"/>
      <c r="M77" s="9"/>
      <c r="Q77" s="2" t="s">
        <v>2</v>
      </c>
      <c r="R77" s="9">
        <v>8288</v>
      </c>
      <c r="S77" s="6">
        <f t="shared" si="1"/>
        <v>1</v>
      </c>
      <c r="X77" s="2" t="s">
        <v>2</v>
      </c>
      <c r="Y77" s="9">
        <v>41938</v>
      </c>
      <c r="Z77" s="6">
        <f t="shared" si="2"/>
        <v>1</v>
      </c>
      <c r="AG77" s="2" t="s">
        <v>2</v>
      </c>
      <c r="AH77" s="9">
        <v>1651</v>
      </c>
      <c r="AI77" s="6">
        <f t="shared" si="3"/>
        <v>1</v>
      </c>
      <c r="AO77" s="2" t="s">
        <v>2</v>
      </c>
      <c r="AP77" s="9">
        <v>11097</v>
      </c>
      <c r="AQ77" s="6">
        <f t="shared" si="4"/>
        <v>1</v>
      </c>
      <c r="AV77" s="2" t="s">
        <v>2</v>
      </c>
      <c r="AW77" s="9">
        <v>10258</v>
      </c>
      <c r="AX77" s="6">
        <f t="shared" si="5"/>
        <v>1</v>
      </c>
      <c r="AY77" s="9"/>
      <c r="AZ77" s="9"/>
      <c r="BA77" s="7"/>
      <c r="BC77" s="2" t="s">
        <v>2</v>
      </c>
      <c r="BD77" s="9">
        <v>27201</v>
      </c>
      <c r="BE77" s="6">
        <f t="shared" si="6"/>
        <v>1</v>
      </c>
      <c r="BF77" s="9"/>
      <c r="BG77" s="9"/>
    </row>
    <row r="78" spans="1:59" x14ac:dyDescent="0.25">
      <c r="D78" s="10"/>
    </row>
    <row r="80" spans="1:59" x14ac:dyDescent="0.25">
      <c r="A80" t="s">
        <v>41</v>
      </c>
    </row>
    <row r="82" spans="1:58" x14ac:dyDescent="0.25">
      <c r="B82" t="s">
        <v>122</v>
      </c>
      <c r="I82" t="s">
        <v>123</v>
      </c>
      <c r="Q82" t="s">
        <v>124</v>
      </c>
      <c r="X82" t="s">
        <v>125</v>
      </c>
      <c r="AG82" t="s">
        <v>126</v>
      </c>
      <c r="AO82" t="s">
        <v>108</v>
      </c>
      <c r="AV82" t="s">
        <v>26</v>
      </c>
      <c r="BC82" t="s">
        <v>27</v>
      </c>
    </row>
    <row r="84" spans="1:58" x14ac:dyDescent="0.25">
      <c r="C84" s="4" t="s">
        <v>34</v>
      </c>
      <c r="D84" s="4" t="s">
        <v>35</v>
      </c>
      <c r="E84" s="4" t="s">
        <v>36</v>
      </c>
      <c r="F84" s="4"/>
      <c r="J84" s="4" t="s">
        <v>34</v>
      </c>
      <c r="K84" s="4" t="s">
        <v>35</v>
      </c>
      <c r="L84" s="4" t="s">
        <v>36</v>
      </c>
      <c r="R84" s="4" t="s">
        <v>34</v>
      </c>
      <c r="S84" s="4" t="s">
        <v>35</v>
      </c>
      <c r="T84" s="4" t="s">
        <v>36</v>
      </c>
      <c r="Y84" s="4" t="s">
        <v>34</v>
      </c>
      <c r="Z84" s="4" t="s">
        <v>35</v>
      </c>
      <c r="AA84" s="4" t="s">
        <v>36</v>
      </c>
      <c r="AH84" s="4" t="s">
        <v>34</v>
      </c>
      <c r="AI84" s="4" t="s">
        <v>35</v>
      </c>
      <c r="AJ84" s="4" t="s">
        <v>36</v>
      </c>
      <c r="AP84" s="4" t="s">
        <v>34</v>
      </c>
      <c r="AQ84" s="4" t="s">
        <v>35</v>
      </c>
      <c r="AR84" s="4" t="s">
        <v>36</v>
      </c>
      <c r="AW84" s="4" t="s">
        <v>34</v>
      </c>
      <c r="AX84" s="4" t="s">
        <v>35</v>
      </c>
      <c r="AY84" s="4" t="s">
        <v>36</v>
      </c>
      <c r="BD84" s="4" t="s">
        <v>34</v>
      </c>
      <c r="BE84" s="4" t="s">
        <v>35</v>
      </c>
      <c r="BF84" s="4" t="s">
        <v>36</v>
      </c>
    </row>
    <row r="85" spans="1:58" x14ac:dyDescent="0.25">
      <c r="B85" s="2" t="s">
        <v>1</v>
      </c>
      <c r="C85" s="8">
        <f>C60/$D$72</f>
        <v>0.25485802688394887</v>
      </c>
      <c r="D85" s="8">
        <f>D60/$D$72</f>
        <v>0.19171514959794636</v>
      </c>
      <c r="E85" s="8">
        <f>E60/$D$72</f>
        <v>0</v>
      </c>
      <c r="F85" s="9"/>
      <c r="I85" s="2" t="s">
        <v>1</v>
      </c>
      <c r="J85" s="8">
        <f>J60/$K$72</f>
        <v>0</v>
      </c>
      <c r="K85" s="8">
        <f>K60/$K$72</f>
        <v>0</v>
      </c>
      <c r="L85" s="8">
        <f>L60/$K$72</f>
        <v>0</v>
      </c>
      <c r="Q85" s="2" t="s">
        <v>1</v>
      </c>
      <c r="R85" s="13">
        <f>R60/$S$72</f>
        <v>0</v>
      </c>
      <c r="S85" s="13">
        <f>S60/$S$72</f>
        <v>0</v>
      </c>
      <c r="T85" s="13">
        <f>T60/$S$72</f>
        <v>0</v>
      </c>
      <c r="X85" s="2" t="s">
        <v>1</v>
      </c>
      <c r="Y85" s="13">
        <f>Y60/$Z$72</f>
        <v>0.2452840728556106</v>
      </c>
      <c r="Z85" s="13">
        <f>Z60/$Z$72</f>
        <v>0</v>
      </c>
      <c r="AA85" s="13">
        <f>AA60/$Z$72</f>
        <v>0</v>
      </c>
      <c r="AG85" s="2" t="s">
        <v>1</v>
      </c>
      <c r="AH85" s="13">
        <f>AH60/$AI$72</f>
        <v>0</v>
      </c>
      <c r="AI85" s="13">
        <f>AI60/$AI$72</f>
        <v>0</v>
      </c>
      <c r="AJ85" s="13">
        <f>AJ60/$AI$72</f>
        <v>0</v>
      </c>
      <c r="AO85" s="2" t="s">
        <v>1</v>
      </c>
      <c r="AP85" s="13">
        <f>AP60/$AQ$72</f>
        <v>0</v>
      </c>
      <c r="AQ85" s="13">
        <f>AQ60/$AQ$72</f>
        <v>0</v>
      </c>
      <c r="AR85" s="13">
        <f>AR60/$AQ$72</f>
        <v>0</v>
      </c>
      <c r="AV85" s="2" t="s">
        <v>1</v>
      </c>
      <c r="AW85" s="8">
        <f>AW60/$AX$72</f>
        <v>0</v>
      </c>
      <c r="AX85" s="8">
        <f>AX60/$AX$72</f>
        <v>0</v>
      </c>
      <c r="AY85" s="8">
        <f>AY60/$AX$72</f>
        <v>0</v>
      </c>
      <c r="BC85" s="2" t="s">
        <v>1</v>
      </c>
      <c r="BD85" s="8">
        <f>BD60/$BE$72</f>
        <v>0.29194084803517883</v>
      </c>
      <c r="BE85" s="8">
        <f>BE60/$BE$72</f>
        <v>0.21943191810327442</v>
      </c>
      <c r="BF85" s="8">
        <f>BF60/$BE$72</f>
        <v>0</v>
      </c>
    </row>
    <row r="86" spans="1:58" ht="39.6" x14ac:dyDescent="0.25">
      <c r="B86" s="2" t="s">
        <v>17</v>
      </c>
      <c r="C86" s="8">
        <f>C61/$D$73</f>
        <v>2.0358176330569258</v>
      </c>
      <c r="D86" s="8">
        <f>D61/$D$73</f>
        <v>2.3856055918635675</v>
      </c>
      <c r="E86" s="8">
        <f>E61/$D$73</f>
        <v>2.1113338604020782</v>
      </c>
      <c r="F86" s="9"/>
      <c r="I86" s="2" t="s">
        <v>17</v>
      </c>
      <c r="J86" s="8">
        <f>J61/$K$73</f>
        <v>1.6380181628373198</v>
      </c>
      <c r="K86" s="8">
        <f>K61/$K$73</f>
        <v>1.7176311282806962</v>
      </c>
      <c r="L86" s="8">
        <f>L61/$K$73</f>
        <v>1.1819799503162496</v>
      </c>
      <c r="Q86" s="2" t="s">
        <v>17</v>
      </c>
      <c r="R86" s="13">
        <f>R61/$S$73</f>
        <v>0</v>
      </c>
      <c r="S86" s="13">
        <f>S61/$S$73</f>
        <v>0</v>
      </c>
      <c r="T86" s="13">
        <f>T61/$S$73</f>
        <v>0</v>
      </c>
      <c r="X86" s="2" t="s">
        <v>17</v>
      </c>
      <c r="Y86" s="13">
        <f>Y61/$Z$73</f>
        <v>2.1647895557015762</v>
      </c>
      <c r="Z86" s="13">
        <f>Z61/$Z$73</f>
        <v>3.8430728613284391</v>
      </c>
      <c r="AA86" s="13">
        <f>AA61/$Z$73</f>
        <v>2.430483917705013</v>
      </c>
      <c r="AG86" s="2" t="s">
        <v>17</v>
      </c>
      <c r="AH86" s="13" t="e">
        <f>AH61/$AI$73</f>
        <v>#DIV/0!</v>
      </c>
      <c r="AI86" s="13" t="e">
        <f>AI61/$AI$73</f>
        <v>#DIV/0!</v>
      </c>
      <c r="AJ86" s="13" t="e">
        <f>AJ61/$AI$73</f>
        <v>#DIV/0!</v>
      </c>
      <c r="AO86" s="2" t="s">
        <v>17</v>
      </c>
      <c r="AP86" s="13">
        <f>AP61/$AQ$73</f>
        <v>2.1248259295362764</v>
      </c>
      <c r="AQ86" s="13">
        <f>AQ61/$AQ$73</f>
        <v>0</v>
      </c>
      <c r="AR86" s="13">
        <f>AR61/$AQ$73</f>
        <v>0</v>
      </c>
      <c r="AV86" s="2" t="s">
        <v>17</v>
      </c>
      <c r="AW86" s="8">
        <f>AW61/$AX$73</f>
        <v>1.3617752652700632</v>
      </c>
      <c r="AX86" s="8">
        <f>AX61/$AX$73</f>
        <v>1.7442018635652587</v>
      </c>
      <c r="AY86" s="8">
        <f>AY61/$AX$73</f>
        <v>1.8079233716475096</v>
      </c>
      <c r="BC86" s="2" t="s">
        <v>17</v>
      </c>
      <c r="BD86" s="8">
        <f>BD61/$BE$73</f>
        <v>1.7625549286119879</v>
      </c>
      <c r="BE86" s="8">
        <f>BE61/$BE$73</f>
        <v>1.9247094746638957</v>
      </c>
      <c r="BF86" s="8">
        <f>BF61/$BE$73</f>
        <v>1.6701240484457269</v>
      </c>
    </row>
    <row r="87" spans="1:58" ht="26.4" x14ac:dyDescent="0.25">
      <c r="B87" s="2" t="s">
        <v>12</v>
      </c>
      <c r="C87" s="8">
        <f>C62/$D$74</f>
        <v>1.1219669880237315</v>
      </c>
      <c r="D87" s="8">
        <f>D62/$D$74</f>
        <v>1.1506595428868371</v>
      </c>
      <c r="E87" s="8">
        <f>E62/$D$74</f>
        <v>1.1922918826346187</v>
      </c>
      <c r="F87" s="9"/>
      <c r="I87" s="2" t="s">
        <v>12</v>
      </c>
      <c r="J87" s="8">
        <f>J62/$K$74</f>
        <v>0.95060719251773607</v>
      </c>
      <c r="K87" s="8">
        <f>K62/$K$74</f>
        <v>0.95204955065417207</v>
      </c>
      <c r="L87" s="8">
        <f>L62/$K$74</f>
        <v>1.0000511157013094</v>
      </c>
      <c r="Q87" s="2" t="s">
        <v>12</v>
      </c>
      <c r="R87" s="13">
        <f>R62/$S$74</f>
        <v>1.6494252873563215</v>
      </c>
      <c r="S87" s="13">
        <f>S62/$S$74</f>
        <v>0</v>
      </c>
      <c r="T87" s="13">
        <f>T62/$S$74</f>
        <v>0</v>
      </c>
      <c r="X87" s="2" t="s">
        <v>12</v>
      </c>
      <c r="Y87" s="13">
        <f>Y62/$Z$74</f>
        <v>1.154611101509958</v>
      </c>
      <c r="Z87" s="13">
        <f>Z62/$Z$74</f>
        <v>1.2350622529697552</v>
      </c>
      <c r="AA87" s="13">
        <f>AA62/$Z$74</f>
        <v>1.1849639531309819</v>
      </c>
      <c r="AG87" s="2" t="s">
        <v>12</v>
      </c>
      <c r="AH87" s="13">
        <f>AH62/$AI$74</f>
        <v>0.79891123544533493</v>
      </c>
      <c r="AI87" s="13">
        <f>AI62/$AI$74</f>
        <v>1.1739320680413501</v>
      </c>
      <c r="AJ87" s="13">
        <f>AJ62/$AI$74</f>
        <v>0</v>
      </c>
      <c r="AO87" s="2" t="s">
        <v>12</v>
      </c>
      <c r="AP87" s="13">
        <f>AP62/$AQ$74</f>
        <v>1.3857820771623375</v>
      </c>
      <c r="AQ87" s="13">
        <f>AQ62/$AQ$74</f>
        <v>1.7133210359090207</v>
      </c>
      <c r="AR87" s="13">
        <f>AR62/$AQ$74</f>
        <v>1.7345386338769344</v>
      </c>
      <c r="AV87" s="2" t="s">
        <v>12</v>
      </c>
      <c r="AW87" s="8">
        <f>AW62/$AX$74</f>
        <v>0.92804542177511262</v>
      </c>
      <c r="AX87" s="8">
        <f>AX62/$AX$74</f>
        <v>0.82245685718107886</v>
      </c>
      <c r="AY87" s="8">
        <f>AY62/$AX$74</f>
        <v>0.7986465039676599</v>
      </c>
      <c r="BC87" s="2" t="s">
        <v>12</v>
      </c>
      <c r="BD87" s="8">
        <f>BD62/$BE$74</f>
        <v>1.0764786791246745</v>
      </c>
      <c r="BE87" s="8">
        <f>BE62/$BE$74</f>
        <v>1.0173119050169108</v>
      </c>
      <c r="BF87" s="8">
        <f>BF62/$BE$74</f>
        <v>1.1497803292287616</v>
      </c>
    </row>
    <row r="88" spans="1:58" ht="26.4" x14ac:dyDescent="0.25">
      <c r="B88" s="2" t="s">
        <v>13</v>
      </c>
      <c r="C88" s="8">
        <f>C63/$D$75</f>
        <v>0.81877991495006353</v>
      </c>
      <c r="D88" s="8">
        <f>D63/$D$75</f>
        <v>0.70538824890137575</v>
      </c>
      <c r="E88" s="8">
        <f>E63/$D$75</f>
        <v>0.6416884094962596</v>
      </c>
      <c r="F88" s="9"/>
      <c r="I88" s="2" t="s">
        <v>13</v>
      </c>
      <c r="J88" s="8">
        <f>J63/$K$75</f>
        <v>0</v>
      </c>
      <c r="K88" s="8">
        <f>K63/$K$75</f>
        <v>0</v>
      </c>
      <c r="L88" s="8">
        <f>L63/$K$75</f>
        <v>0</v>
      </c>
      <c r="Q88" s="2" t="s">
        <v>13</v>
      </c>
      <c r="R88" s="13">
        <f>R63/$S$75</f>
        <v>1.1782464846980976</v>
      </c>
      <c r="S88" s="13">
        <f>S63/$S$75</f>
        <v>0</v>
      </c>
      <c r="T88" s="13">
        <f>T63/$S$75</f>
        <v>0</v>
      </c>
      <c r="X88" s="2" t="s">
        <v>13</v>
      </c>
      <c r="Y88" s="13">
        <f>Y63/$Z$75</f>
        <v>0.93164319175637011</v>
      </c>
      <c r="Z88" s="13">
        <f>Z63/$Z$75</f>
        <v>0.95752833243389091</v>
      </c>
      <c r="AA88" s="13">
        <f>AA63/$Z$75</f>
        <v>0.95056449001618992</v>
      </c>
      <c r="AG88" s="2" t="s">
        <v>13</v>
      </c>
      <c r="AH88" s="13">
        <f>AH63/$AI$75</f>
        <v>0</v>
      </c>
      <c r="AI88" s="13">
        <f>AI63/$AI$75</f>
        <v>0</v>
      </c>
      <c r="AJ88" s="13">
        <f>AJ63/$AI$75</f>
        <v>0</v>
      </c>
      <c r="AO88" s="2" t="s">
        <v>13</v>
      </c>
      <c r="AP88" s="13">
        <f>AP63/$AQ$75</f>
        <v>0.83944626955995505</v>
      </c>
      <c r="AQ88" s="13">
        <f>AQ63/$AQ$75</f>
        <v>0</v>
      </c>
      <c r="AR88" s="13">
        <f>AR63/$AQ$75</f>
        <v>0</v>
      </c>
      <c r="AV88" s="2" t="s">
        <v>13</v>
      </c>
      <c r="AW88" s="8">
        <f>AW63/$AX$75</f>
        <v>1.1296392653710723</v>
      </c>
      <c r="AX88" s="8">
        <f>AX63/$AX$75</f>
        <v>1.0218556372402525</v>
      </c>
      <c r="AY88" s="8">
        <f>AY63/$AX$75</f>
        <v>0</v>
      </c>
      <c r="BC88" s="2" t="s">
        <v>13</v>
      </c>
      <c r="BD88" s="8">
        <f>BD63/$BE$75</f>
        <v>0.81773907466605211</v>
      </c>
      <c r="BE88" s="8">
        <f>BE63/$BE$75</f>
        <v>0.91910323150751039</v>
      </c>
      <c r="BF88" s="8">
        <f>BF63/$BE$75</f>
        <v>0.81747744600282868</v>
      </c>
    </row>
    <row r="89" spans="1:58" x14ac:dyDescent="0.25">
      <c r="B89" s="2" t="s">
        <v>15</v>
      </c>
      <c r="C89" s="8">
        <f>C64/$D$76</f>
        <v>0.61791688686803559</v>
      </c>
      <c r="D89" s="8">
        <f>D64/$D$76</f>
        <v>0.48964494791651331</v>
      </c>
      <c r="E89" s="8">
        <f>E64/$D$76</f>
        <v>0.48170356385046276</v>
      </c>
      <c r="F89" s="9"/>
      <c r="I89" s="2" t="s">
        <v>15</v>
      </c>
      <c r="J89" s="8">
        <f>J64/$K$76</f>
        <v>0.76674383477977825</v>
      </c>
      <c r="K89" s="8">
        <f>K64/$K$76</f>
        <v>0.6421870812114715</v>
      </c>
      <c r="L89" s="8">
        <f>L64/$K$76</f>
        <v>0</v>
      </c>
      <c r="Q89" s="2" t="s">
        <v>15</v>
      </c>
      <c r="R89" s="13">
        <f>R64/$S$76</f>
        <v>1.0006783460154545</v>
      </c>
      <c r="S89" s="13">
        <f>S64/$S$76</f>
        <v>1.1146487347372147</v>
      </c>
      <c r="T89" s="13">
        <f>T64/$S$76</f>
        <v>1.0476021943018934</v>
      </c>
      <c r="X89" s="2" t="s">
        <v>15</v>
      </c>
      <c r="Y89" s="13">
        <f>Y64/$Z$76</f>
        <v>0.95903858073911807</v>
      </c>
      <c r="Z89" s="13">
        <f>Z64/$Z$76</f>
        <v>0.7983232958347537</v>
      </c>
      <c r="AA89" s="13">
        <f>AA64/$Z$76</f>
        <v>0.93192025554587588</v>
      </c>
      <c r="AG89" s="2" t="s">
        <v>15</v>
      </c>
      <c r="AH89" s="13">
        <f>AH64/$AI$76</f>
        <v>1.0762821492233257</v>
      </c>
      <c r="AI89" s="13">
        <f>AI64/$AI$76</f>
        <v>1.0340609744865066</v>
      </c>
      <c r="AJ89" s="13">
        <f>AJ64/$AI$76</f>
        <v>1.102708719851577</v>
      </c>
      <c r="AO89" s="2" t="s">
        <v>15</v>
      </c>
      <c r="AP89" s="13">
        <f>AP64/$AQ$76</f>
        <v>0.93995463657496736</v>
      </c>
      <c r="AQ89" s="13">
        <f>AQ64/$AQ$76</f>
        <v>0.79655007258510657</v>
      </c>
      <c r="AR89" s="13">
        <f>AR64/$AQ$76</f>
        <v>0.70445401956816722</v>
      </c>
      <c r="AV89" s="2" t="s">
        <v>15</v>
      </c>
      <c r="AW89" s="8">
        <f>AW64/$AX$76</f>
        <v>0.96197663342633877</v>
      </c>
      <c r="AX89" s="8">
        <f>AX64/$AX$76</f>
        <v>0.89952266211187704</v>
      </c>
      <c r="AY89" s="8">
        <f>AY64/$AX$76</f>
        <v>0</v>
      </c>
      <c r="BC89" s="2" t="s">
        <v>15</v>
      </c>
      <c r="BD89" s="8">
        <f>BD64/$BE$76</f>
        <v>0.58808792562690837</v>
      </c>
      <c r="BE89" s="8">
        <f>BE64/$BE$76</f>
        <v>0.61437383515587218</v>
      </c>
      <c r="BF89" s="8">
        <f>BF64/$BE$76</f>
        <v>0.5236737351717109</v>
      </c>
    </row>
    <row r="90" spans="1:58" x14ac:dyDescent="0.25">
      <c r="B90" s="2"/>
      <c r="C90" s="9"/>
      <c r="D90" s="9"/>
      <c r="E90" s="9"/>
      <c r="F90" s="9"/>
    </row>
    <row r="92" spans="1:58" x14ac:dyDescent="0.25">
      <c r="A92" t="s">
        <v>42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workbookViewId="0">
      <selection activeCell="H14" sqref="H14"/>
    </sheetView>
  </sheetViews>
  <sheetFormatPr defaultRowHeight="13.2" x14ac:dyDescent="0.25"/>
  <cols>
    <col min="2" max="2" width="13" customWidth="1"/>
    <col min="3" max="3" width="16.6640625" customWidth="1"/>
    <col min="4" max="4" width="16.44140625" customWidth="1"/>
    <col min="5" max="5" width="15" customWidth="1"/>
    <col min="6" max="6" width="13.44140625" customWidth="1"/>
    <col min="17" max="17" width="13.88671875" customWidth="1"/>
    <col min="18" max="18" width="14" customWidth="1"/>
    <col min="19" max="19" width="18.6640625" customWidth="1"/>
    <col min="20" max="20" width="12.5546875" customWidth="1"/>
    <col min="28" max="28" width="12.88671875" customWidth="1"/>
    <col min="29" max="29" width="10.6640625" customWidth="1"/>
    <col min="30" max="30" width="14.33203125" customWidth="1"/>
    <col min="31" max="31" width="12.6640625" customWidth="1"/>
    <col min="34" max="34" width="13.33203125" customWidth="1"/>
    <col min="35" max="35" width="13.5546875" customWidth="1"/>
    <col min="36" max="36" width="15" customWidth="1"/>
    <col min="37" max="37" width="15.88671875" customWidth="1"/>
  </cols>
  <sheetData>
    <row r="1" spans="1:9" x14ac:dyDescent="0.25">
      <c r="A1" s="1" t="s">
        <v>22</v>
      </c>
    </row>
    <row r="3" spans="1:9" x14ac:dyDescent="0.25">
      <c r="B3" s="1" t="s">
        <v>43</v>
      </c>
    </row>
    <row r="5" spans="1:9" x14ac:dyDescent="0.25">
      <c r="B5" s="3" t="s">
        <v>98</v>
      </c>
    </row>
    <row r="6" spans="1:9" x14ac:dyDescent="0.25">
      <c r="C6" t="s">
        <v>0</v>
      </c>
      <c r="D6" t="s">
        <v>19</v>
      </c>
      <c r="E6" t="s">
        <v>20</v>
      </c>
      <c r="F6" t="s">
        <v>18</v>
      </c>
    </row>
    <row r="7" spans="1:9" ht="39.6" x14ac:dyDescent="0.25">
      <c r="B7" s="2" t="s">
        <v>10</v>
      </c>
    </row>
    <row r="8" spans="1:9" x14ac:dyDescent="0.25">
      <c r="B8" s="2" t="s">
        <v>1</v>
      </c>
      <c r="C8" s="11">
        <v>1.5300000000000001E-2</v>
      </c>
      <c r="D8" s="11">
        <v>5.1999999999999998E-3</v>
      </c>
      <c r="E8" s="11">
        <v>6.9999999999999993E-3</v>
      </c>
      <c r="F8" s="7">
        <f>20/3263</f>
        <v>6.1293288384921853E-3</v>
      </c>
      <c r="G8" s="7"/>
      <c r="H8" s="7"/>
      <c r="I8" s="7"/>
    </row>
    <row r="9" spans="1:9" ht="39.6" x14ac:dyDescent="0.25">
      <c r="B9" s="2" t="s">
        <v>11</v>
      </c>
      <c r="C9" s="11">
        <v>0.1065</v>
      </c>
      <c r="D9" s="11">
        <v>8.8100000000000012E-2</v>
      </c>
      <c r="E9" s="11">
        <v>9.5899999999999999E-2</v>
      </c>
      <c r="F9" s="7">
        <f>688/7927</f>
        <v>8.6791976788192254E-2</v>
      </c>
      <c r="G9" s="7"/>
      <c r="H9" s="7"/>
      <c r="I9" s="7"/>
    </row>
    <row r="10" spans="1:9" ht="26.4" x14ac:dyDescent="0.25">
      <c r="B10" s="2" t="s">
        <v>12</v>
      </c>
      <c r="C10" s="11">
        <v>5.62E-2</v>
      </c>
      <c r="D10" s="11">
        <v>5.04E-2</v>
      </c>
      <c r="E10" s="11">
        <v>4.6300000000000001E-2</v>
      </c>
      <c r="F10" s="7">
        <f>2243/54881</f>
        <v>4.087024653340865E-2</v>
      </c>
      <c r="G10" s="7"/>
      <c r="H10" s="7"/>
      <c r="I10" s="7"/>
    </row>
    <row r="11" spans="1:9" ht="39.6" x14ac:dyDescent="0.25">
      <c r="B11" s="2" t="s">
        <v>14</v>
      </c>
      <c r="C11" s="11">
        <v>0</v>
      </c>
      <c r="D11" s="11">
        <v>0</v>
      </c>
      <c r="E11" s="11">
        <v>0</v>
      </c>
      <c r="F11" s="7"/>
      <c r="G11" s="7"/>
      <c r="H11" s="7"/>
      <c r="I11" s="7"/>
    </row>
    <row r="12" spans="1:9" ht="26.4" x14ac:dyDescent="0.25">
      <c r="B12" s="2" t="s">
        <v>13</v>
      </c>
      <c r="C12" s="11">
        <v>4.1200000000000001E-2</v>
      </c>
      <c r="D12" s="11">
        <v>3.7400000000000003E-2</v>
      </c>
      <c r="E12" s="11">
        <v>3.3099999999999997E-2</v>
      </c>
      <c r="F12" s="7">
        <f>54/2372</f>
        <v>2.2765598650927487E-2</v>
      </c>
      <c r="G12" s="7"/>
      <c r="H12" s="7"/>
      <c r="I12" s="7"/>
    </row>
    <row r="13" spans="1:9" x14ac:dyDescent="0.25">
      <c r="B13" s="2" t="s">
        <v>15</v>
      </c>
      <c r="C13" s="11">
        <v>2.53E-2</v>
      </c>
      <c r="D13" s="11">
        <v>2.1899999999999999E-2</v>
      </c>
      <c r="E13" s="11">
        <v>2.12E-2</v>
      </c>
      <c r="F13" s="7">
        <f>416/22694</f>
        <v>1.8330836344408213E-2</v>
      </c>
      <c r="G13" s="7"/>
      <c r="H13" s="7"/>
      <c r="I13" s="7"/>
    </row>
    <row r="14" spans="1:9" x14ac:dyDescent="0.25">
      <c r="B14" s="2" t="s">
        <v>2</v>
      </c>
      <c r="C14" s="11">
        <v>5.21E-2</v>
      </c>
      <c r="D14" s="11">
        <v>4.5400000000000003E-2</v>
      </c>
      <c r="E14" s="11">
        <v>4.2999999999999997E-2</v>
      </c>
      <c r="F14" s="7">
        <f>3436/91402</f>
        <v>3.7592175225925034E-2</v>
      </c>
      <c r="G14" s="7"/>
      <c r="H14" s="7"/>
      <c r="I14" s="7"/>
    </row>
    <row r="17" spans="2:2" x14ac:dyDescent="0.25">
      <c r="B17" s="4" t="s">
        <v>24</v>
      </c>
    </row>
    <row r="18" spans="2:2" x14ac:dyDescent="0.25">
      <c r="B18" t="s">
        <v>25</v>
      </c>
    </row>
    <row r="19" spans="2:2" x14ac:dyDescent="0.25">
      <c r="B19" t="s">
        <v>44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7"/>
  <sheetViews>
    <sheetView workbookViewId="0">
      <selection activeCell="B20" sqref="B20"/>
    </sheetView>
  </sheetViews>
  <sheetFormatPr defaultRowHeight="13.2" x14ac:dyDescent="0.25"/>
  <cols>
    <col min="2" max="2" width="13" customWidth="1"/>
    <col min="3" max="3" width="16.6640625" customWidth="1"/>
    <col min="4" max="4" width="16.44140625" customWidth="1"/>
    <col min="5" max="5" width="15" customWidth="1"/>
    <col min="6" max="6" width="13.44140625" customWidth="1"/>
    <col min="17" max="17" width="13.88671875" customWidth="1"/>
    <col min="18" max="18" width="14" customWidth="1"/>
    <col min="19" max="19" width="18.6640625" customWidth="1"/>
    <col min="20" max="20" width="12.5546875" customWidth="1"/>
    <col min="28" max="28" width="12.88671875" customWidth="1"/>
    <col min="29" max="29" width="10.6640625" customWidth="1"/>
    <col min="30" max="30" width="14.33203125" customWidth="1"/>
    <col min="31" max="31" width="12.6640625" customWidth="1"/>
    <col min="34" max="34" width="13.33203125" customWidth="1"/>
    <col min="35" max="35" width="13.5546875" customWidth="1"/>
    <col min="36" max="36" width="15" customWidth="1"/>
    <col min="37" max="37" width="15.88671875" customWidth="1"/>
  </cols>
  <sheetData>
    <row r="1" spans="1:10" x14ac:dyDescent="0.25">
      <c r="A1" s="1" t="s">
        <v>22</v>
      </c>
    </row>
    <row r="3" spans="1:10" x14ac:dyDescent="0.25">
      <c r="B3" t="s">
        <v>45</v>
      </c>
    </row>
    <row r="5" spans="1:10" x14ac:dyDescent="0.25">
      <c r="D5" t="s">
        <v>2</v>
      </c>
      <c r="E5" t="s">
        <v>3</v>
      </c>
      <c r="F5" t="s">
        <v>4</v>
      </c>
    </row>
    <row r="6" spans="1:10" x14ac:dyDescent="0.25">
      <c r="C6" t="s">
        <v>47</v>
      </c>
      <c r="D6" s="11">
        <v>1.9699999999999999E-2</v>
      </c>
      <c r="E6" s="11">
        <v>9.8999999999999991E-3</v>
      </c>
      <c r="F6" s="11">
        <v>2.8900000000000002E-2</v>
      </c>
      <c r="H6" s="7"/>
      <c r="I6" s="7"/>
      <c r="J6" s="7"/>
    </row>
    <row r="7" spans="1:10" x14ac:dyDescent="0.25">
      <c r="C7" t="s">
        <v>0</v>
      </c>
      <c r="D7" s="11">
        <v>1.8600000000000002E-2</v>
      </c>
      <c r="E7" s="11">
        <v>0.01</v>
      </c>
      <c r="F7" s="11">
        <v>2.6000000000000002E-2</v>
      </c>
      <c r="H7" s="7"/>
      <c r="I7" s="7"/>
      <c r="J7" s="7"/>
    </row>
    <row r="8" spans="1:10" x14ac:dyDescent="0.25">
      <c r="C8" t="s">
        <v>19</v>
      </c>
      <c r="D8" s="11">
        <v>1.83E-2</v>
      </c>
      <c r="E8" s="11">
        <v>9.3999999999999986E-3</v>
      </c>
      <c r="F8" s="11">
        <v>2.6600000000000002E-2</v>
      </c>
      <c r="H8" s="7"/>
      <c r="I8" s="7"/>
      <c r="J8" s="7"/>
    </row>
    <row r="9" spans="1:10" x14ac:dyDescent="0.25">
      <c r="C9" t="s">
        <v>20</v>
      </c>
      <c r="D9" s="11">
        <v>1.41E-2</v>
      </c>
      <c r="E9" s="11">
        <v>6.1999999999999998E-3</v>
      </c>
      <c r="F9" s="11">
        <v>2.1499999999999998E-2</v>
      </c>
      <c r="H9" s="7"/>
      <c r="I9" s="7"/>
      <c r="J9" s="7"/>
    </row>
    <row r="10" spans="1:10" x14ac:dyDescent="0.25">
      <c r="C10" t="s">
        <v>18</v>
      </c>
      <c r="D10" s="7">
        <v>1.3741493621583773E-2</v>
      </c>
      <c r="E10" s="7">
        <v>7.4257984426137008E-3</v>
      </c>
      <c r="F10" s="7">
        <v>1.9682782342824383E-2</v>
      </c>
    </row>
    <row r="11" spans="1:10" x14ac:dyDescent="0.25">
      <c r="C11" t="s">
        <v>116</v>
      </c>
      <c r="D11" s="7"/>
      <c r="E11" s="7"/>
      <c r="F11" s="7"/>
    </row>
    <row r="12" spans="1:10" x14ac:dyDescent="0.25">
      <c r="C12" t="s">
        <v>117</v>
      </c>
      <c r="D12" s="7"/>
      <c r="E12" s="7"/>
      <c r="F12" s="7"/>
    </row>
    <row r="13" spans="1:10" x14ac:dyDescent="0.25">
      <c r="C13" t="s">
        <v>118</v>
      </c>
      <c r="D13" s="7"/>
      <c r="E13" s="7"/>
      <c r="F13" s="7"/>
    </row>
    <row r="14" spans="1:10" x14ac:dyDescent="0.25">
      <c r="C14" t="s">
        <v>119</v>
      </c>
      <c r="D14" s="7"/>
      <c r="E14" s="7"/>
      <c r="F14" s="7"/>
    </row>
    <row r="15" spans="1:10" x14ac:dyDescent="0.25">
      <c r="C15" t="s">
        <v>120</v>
      </c>
      <c r="D15" s="7">
        <v>1.0869818758601386E-2</v>
      </c>
      <c r="E15" s="7">
        <v>7.9368885478611172E-3</v>
      </c>
      <c r="F15" s="7">
        <v>1.3647304600572233E-2</v>
      </c>
    </row>
    <row r="17" spans="2:10" x14ac:dyDescent="0.25">
      <c r="B17" s="4" t="s">
        <v>32</v>
      </c>
    </row>
    <row r="18" spans="2:10" x14ac:dyDescent="0.25">
      <c r="B18" t="s">
        <v>9</v>
      </c>
    </row>
    <row r="20" spans="2:10" x14ac:dyDescent="0.25">
      <c r="B20" s="4" t="s">
        <v>130</v>
      </c>
    </row>
    <row r="21" spans="2:10" x14ac:dyDescent="0.25">
      <c r="B21" t="s">
        <v>44</v>
      </c>
    </row>
    <row r="25" spans="2:10" x14ac:dyDescent="0.25">
      <c r="B25" t="s">
        <v>102</v>
      </c>
    </row>
    <row r="27" spans="2:10" x14ac:dyDescent="0.25">
      <c r="D27" t="s">
        <v>2</v>
      </c>
      <c r="E27" t="s">
        <v>3</v>
      </c>
      <c r="F27" t="s">
        <v>4</v>
      </c>
    </row>
    <row r="28" spans="2:10" x14ac:dyDescent="0.25">
      <c r="C28" t="s">
        <v>47</v>
      </c>
      <c r="D28" s="11">
        <v>4.0099999999999997E-2</v>
      </c>
      <c r="E28" s="11">
        <v>2.4199999999999999E-2</v>
      </c>
      <c r="F28" s="11">
        <v>5.5399999999999998E-2</v>
      </c>
      <c r="H28" s="7"/>
      <c r="I28" s="7"/>
      <c r="J28" s="7"/>
    </row>
    <row r="29" spans="2:10" x14ac:dyDescent="0.25">
      <c r="C29" t="s">
        <v>0</v>
      </c>
      <c r="D29" s="11">
        <v>3.5000000000000003E-2</v>
      </c>
      <c r="E29" s="11">
        <v>2.0400000000000001E-2</v>
      </c>
      <c r="F29" s="11">
        <v>4.9200000000000001E-2</v>
      </c>
      <c r="H29" s="7"/>
      <c r="I29" s="7"/>
      <c r="J29" s="7"/>
    </row>
    <row r="30" spans="2:10" x14ac:dyDescent="0.25">
      <c r="C30" t="s">
        <v>19</v>
      </c>
      <c r="D30" s="11">
        <v>2.81E-2</v>
      </c>
      <c r="E30" s="11">
        <v>1.5599999999999999E-2</v>
      </c>
      <c r="F30" s="11">
        <v>0.04</v>
      </c>
      <c r="H30" s="7"/>
      <c r="I30" s="7"/>
      <c r="J30" s="7"/>
    </row>
    <row r="31" spans="2:10" x14ac:dyDescent="0.25">
      <c r="C31" t="s">
        <v>20</v>
      </c>
      <c r="D31" s="11">
        <v>2.98E-2</v>
      </c>
      <c r="E31" s="11">
        <v>1.3100000000000001E-2</v>
      </c>
      <c r="F31" s="11">
        <v>4.5900000000000003E-2</v>
      </c>
      <c r="H31" s="7"/>
      <c r="I31" s="7"/>
      <c r="J31" s="7"/>
    </row>
    <row r="32" spans="2:10" x14ac:dyDescent="0.25">
      <c r="C32" t="s">
        <v>18</v>
      </c>
      <c r="D32" s="7">
        <v>3.2500000000000001E-2</v>
      </c>
      <c r="E32" s="7">
        <v>1.67E-2</v>
      </c>
      <c r="F32" s="7">
        <v>4.7699999999999999E-2</v>
      </c>
    </row>
    <row r="33" spans="2:6" x14ac:dyDescent="0.25">
      <c r="C33" t="s">
        <v>116</v>
      </c>
      <c r="D33" s="7"/>
      <c r="E33" s="7"/>
      <c r="F33" s="7"/>
    </row>
    <row r="34" spans="2:6" x14ac:dyDescent="0.25">
      <c r="C34" t="s">
        <v>117</v>
      </c>
      <c r="D34" s="7"/>
      <c r="E34" s="7"/>
      <c r="F34" s="7"/>
    </row>
    <row r="35" spans="2:6" x14ac:dyDescent="0.25">
      <c r="C35" t="s">
        <v>118</v>
      </c>
      <c r="D35" s="7"/>
      <c r="E35" s="7"/>
      <c r="F35" s="7"/>
    </row>
    <row r="36" spans="2:6" x14ac:dyDescent="0.25">
      <c r="C36" t="s">
        <v>119</v>
      </c>
      <c r="D36" s="7"/>
      <c r="E36" s="7"/>
      <c r="F36" s="7"/>
    </row>
    <row r="37" spans="2:6" x14ac:dyDescent="0.25">
      <c r="C37" t="s">
        <v>120</v>
      </c>
      <c r="D37" s="7">
        <v>2.2454090150250416E-2</v>
      </c>
      <c r="E37" s="7">
        <v>1.4275885792913657E-2</v>
      </c>
      <c r="F37" s="7">
        <v>3.0165423289004217E-2</v>
      </c>
    </row>
    <row r="38" spans="2:6" x14ac:dyDescent="0.25">
      <c r="D38" s="7"/>
      <c r="E38" s="7"/>
      <c r="F38" s="7"/>
    </row>
    <row r="39" spans="2:6" x14ac:dyDescent="0.25">
      <c r="D39" s="7"/>
      <c r="E39" s="7"/>
      <c r="F39" s="7"/>
    </row>
    <row r="40" spans="2:6" x14ac:dyDescent="0.25">
      <c r="B40" t="s">
        <v>109</v>
      </c>
    </row>
    <row r="42" spans="2:6" x14ac:dyDescent="0.25">
      <c r="D42" t="s">
        <v>2</v>
      </c>
      <c r="E42" t="s">
        <v>3</v>
      </c>
      <c r="F42" t="s">
        <v>4</v>
      </c>
    </row>
    <row r="43" spans="2:6" x14ac:dyDescent="0.25">
      <c r="C43" t="s">
        <v>47</v>
      </c>
      <c r="D43" s="11">
        <v>4.4000000000000003E-3</v>
      </c>
      <c r="E43" s="11">
        <v>1.9E-3</v>
      </c>
      <c r="F43" s="11">
        <v>6.7999999999999996E-3</v>
      </c>
    </row>
    <row r="44" spans="2:6" x14ac:dyDescent="0.25">
      <c r="C44" t="s">
        <v>0</v>
      </c>
      <c r="D44" s="11">
        <v>7.4999999999999997E-3</v>
      </c>
      <c r="E44" s="11">
        <v>5.3E-3</v>
      </c>
      <c r="F44" s="11">
        <v>9.4999999999999998E-3</v>
      </c>
    </row>
    <row r="45" spans="2:6" x14ac:dyDescent="0.25">
      <c r="C45" t="s">
        <v>19</v>
      </c>
      <c r="D45" s="11">
        <v>5.7999999999999996E-3</v>
      </c>
      <c r="E45" s="11">
        <v>2.5999999999999999E-3</v>
      </c>
      <c r="F45" s="11">
        <v>8.8000000000000005E-3</v>
      </c>
    </row>
    <row r="46" spans="2:6" x14ac:dyDescent="0.25">
      <c r="C46" t="s">
        <v>20</v>
      </c>
      <c r="D46" s="11">
        <v>3.8999999999999998E-3</v>
      </c>
      <c r="E46" s="11"/>
      <c r="F46" s="11"/>
    </row>
    <row r="47" spans="2:6" x14ac:dyDescent="0.25">
      <c r="C47" t="s">
        <v>18</v>
      </c>
      <c r="D47" s="7">
        <v>4.7000000000000002E-3</v>
      </c>
      <c r="E47" s="7">
        <v>3.0999999999999999E-3</v>
      </c>
      <c r="F47" s="7">
        <v>6.1000000000000004E-3</v>
      </c>
    </row>
    <row r="48" spans="2:6" x14ac:dyDescent="0.25">
      <c r="C48" t="s">
        <v>116</v>
      </c>
      <c r="D48" s="7"/>
      <c r="E48" s="7"/>
      <c r="F48" s="7"/>
    </row>
    <row r="49" spans="2:6" x14ac:dyDescent="0.25">
      <c r="C49" t="s">
        <v>117</v>
      </c>
      <c r="D49" s="7"/>
      <c r="E49" s="7"/>
      <c r="F49" s="7"/>
    </row>
    <row r="50" spans="2:6" x14ac:dyDescent="0.25">
      <c r="C50" t="s">
        <v>118</v>
      </c>
      <c r="D50" s="7"/>
      <c r="E50" s="7"/>
      <c r="F50" s="7"/>
    </row>
    <row r="51" spans="2:6" x14ac:dyDescent="0.25">
      <c r="C51" t="s">
        <v>119</v>
      </c>
      <c r="D51" s="7"/>
      <c r="E51" s="7"/>
      <c r="F51" s="7"/>
    </row>
    <row r="52" spans="2:6" x14ac:dyDescent="0.25">
      <c r="C52" t="s">
        <v>120</v>
      </c>
      <c r="D52" s="7">
        <v>2.5337837837837839E-3</v>
      </c>
      <c r="E52" s="7"/>
      <c r="F52" s="7"/>
    </row>
    <row r="53" spans="2:6" x14ac:dyDescent="0.25">
      <c r="D53" s="7"/>
      <c r="E53" s="7"/>
      <c r="F53" s="7"/>
    </row>
    <row r="54" spans="2:6" x14ac:dyDescent="0.25">
      <c r="B54" t="s">
        <v>110</v>
      </c>
    </row>
    <row r="56" spans="2:6" x14ac:dyDescent="0.25">
      <c r="D56" t="s">
        <v>2</v>
      </c>
      <c r="E56" t="s">
        <v>3</v>
      </c>
      <c r="F56" t="s">
        <v>4</v>
      </c>
    </row>
    <row r="57" spans="2:6" x14ac:dyDescent="0.25">
      <c r="C57" t="s">
        <v>47</v>
      </c>
      <c r="D57" s="11">
        <v>1.7399999999999999E-2</v>
      </c>
      <c r="E57" s="11">
        <v>1.8200000000000001E-2</v>
      </c>
      <c r="F57" s="11">
        <v>1.6799999999999999E-2</v>
      </c>
    </row>
    <row r="58" spans="2:6" x14ac:dyDescent="0.25">
      <c r="C58" t="s">
        <v>0</v>
      </c>
      <c r="D58" s="11">
        <v>1.24E-2</v>
      </c>
      <c r="E58" s="11"/>
      <c r="F58" s="11"/>
    </row>
    <row r="59" spans="2:6" x14ac:dyDescent="0.25">
      <c r="C59" t="s">
        <v>19</v>
      </c>
      <c r="D59" s="11">
        <v>2.3300000000000001E-2</v>
      </c>
      <c r="E59" s="11">
        <v>1.0200000000000001E-2</v>
      </c>
      <c r="F59" s="11">
        <v>3.5499999999999997E-2</v>
      </c>
    </row>
    <row r="60" spans="2:6" x14ac:dyDescent="0.25">
      <c r="C60" t="s">
        <v>20</v>
      </c>
      <c r="D60" s="11">
        <v>1.18E-2</v>
      </c>
      <c r="E60" s="11"/>
      <c r="F60" s="11"/>
    </row>
    <row r="61" spans="2:6" x14ac:dyDescent="0.25">
      <c r="C61" t="s">
        <v>18</v>
      </c>
      <c r="D61" s="7">
        <v>9.4999999999999998E-3</v>
      </c>
      <c r="E61" s="7"/>
      <c r="F61" s="7"/>
    </row>
    <row r="62" spans="2:6" x14ac:dyDescent="0.25">
      <c r="C62" t="s">
        <v>116</v>
      </c>
      <c r="D62" s="7"/>
      <c r="E62" s="7"/>
      <c r="F62" s="7"/>
    </row>
    <row r="63" spans="2:6" x14ac:dyDescent="0.25">
      <c r="C63" t="s">
        <v>117</v>
      </c>
      <c r="D63" s="7"/>
      <c r="E63" s="7"/>
      <c r="F63" s="7"/>
    </row>
    <row r="64" spans="2:6" x14ac:dyDescent="0.25">
      <c r="C64" t="s">
        <v>118</v>
      </c>
      <c r="D64" s="7"/>
      <c r="E64" s="7"/>
      <c r="F64" s="7"/>
    </row>
    <row r="65" spans="2:10" x14ac:dyDescent="0.25">
      <c r="C65" t="s">
        <v>119</v>
      </c>
    </row>
    <row r="66" spans="2:10" x14ac:dyDescent="0.25">
      <c r="C66" t="s">
        <v>120</v>
      </c>
      <c r="D66" s="7">
        <v>2.1199273167777106E-2</v>
      </c>
      <c r="E66" s="7">
        <v>1.7264276228419653E-2</v>
      </c>
      <c r="F66" s="7">
        <v>2.4498886414253896E-2</v>
      </c>
    </row>
    <row r="67" spans="2:10" x14ac:dyDescent="0.25">
      <c r="D67" s="7"/>
      <c r="E67" s="7"/>
      <c r="F67" s="7"/>
    </row>
    <row r="68" spans="2:10" x14ac:dyDescent="0.25">
      <c r="D68" s="7"/>
      <c r="E68" s="7"/>
      <c r="F68" s="7"/>
    </row>
    <row r="69" spans="2:10" x14ac:dyDescent="0.25">
      <c r="B69" t="s">
        <v>114</v>
      </c>
    </row>
    <row r="71" spans="2:10" x14ac:dyDescent="0.25">
      <c r="D71" t="s">
        <v>2</v>
      </c>
      <c r="E71" t="s">
        <v>3</v>
      </c>
      <c r="F71" t="s">
        <v>4</v>
      </c>
    </row>
    <row r="72" spans="2:10" x14ac:dyDescent="0.25">
      <c r="C72" t="s">
        <v>47</v>
      </c>
      <c r="D72" s="11">
        <v>1.35E-2</v>
      </c>
      <c r="E72" s="11">
        <v>6.0000000000000001E-3</v>
      </c>
      <c r="F72" s="11">
        <v>2.06E-2</v>
      </c>
    </row>
    <row r="73" spans="2:10" x14ac:dyDescent="0.25">
      <c r="C73" t="s">
        <v>0</v>
      </c>
      <c r="D73" s="11">
        <v>1.2500000000000001E-2</v>
      </c>
      <c r="E73" s="11">
        <v>5.7999999999999996E-3</v>
      </c>
      <c r="F73" s="11">
        <v>1.89E-2</v>
      </c>
    </row>
    <row r="74" spans="2:10" x14ac:dyDescent="0.25">
      <c r="C74" t="s">
        <v>19</v>
      </c>
      <c r="D74" s="11">
        <v>1.18E-2</v>
      </c>
      <c r="E74" s="11">
        <v>5.4999999999999997E-3</v>
      </c>
      <c r="F74" s="11">
        <v>1.77E-2</v>
      </c>
    </row>
    <row r="75" spans="2:10" x14ac:dyDescent="0.25">
      <c r="C75" t="s">
        <v>20</v>
      </c>
      <c r="D75" s="11">
        <v>9.5999999999999992E-3</v>
      </c>
      <c r="E75" s="11">
        <v>3.3999999999999998E-3</v>
      </c>
      <c r="F75" s="11">
        <v>1.54E-2</v>
      </c>
    </row>
    <row r="76" spans="2:10" x14ac:dyDescent="0.25">
      <c r="C76" t="s">
        <v>18</v>
      </c>
      <c r="D76" s="7">
        <v>9.7000000000000003E-3</v>
      </c>
      <c r="E76" s="7">
        <v>4.0000000000000001E-3</v>
      </c>
      <c r="F76" s="7">
        <v>1.52E-2</v>
      </c>
    </row>
    <row r="77" spans="2:10" x14ac:dyDescent="0.25">
      <c r="C77" t="s">
        <v>116</v>
      </c>
      <c r="D77" s="7"/>
      <c r="E77" s="7"/>
      <c r="F77" s="7"/>
    </row>
    <row r="78" spans="2:10" x14ac:dyDescent="0.25">
      <c r="C78" t="s">
        <v>117</v>
      </c>
      <c r="D78" s="7"/>
      <c r="E78" s="7"/>
      <c r="F78" s="7"/>
      <c r="H78" s="7"/>
      <c r="I78" s="7"/>
      <c r="J78" s="7"/>
    </row>
    <row r="79" spans="2:10" x14ac:dyDescent="0.25">
      <c r="C79" t="s">
        <v>118</v>
      </c>
      <c r="D79" s="7"/>
      <c r="E79" s="7"/>
      <c r="F79" s="7"/>
      <c r="H79" s="7"/>
      <c r="I79" s="7"/>
      <c r="J79" s="7"/>
    </row>
    <row r="80" spans="2:10" x14ac:dyDescent="0.25">
      <c r="C80" t="s">
        <v>119</v>
      </c>
      <c r="D80" s="7"/>
      <c r="E80" s="7"/>
      <c r="F80" s="7"/>
      <c r="H80" s="7"/>
      <c r="I80" s="7"/>
      <c r="J80" s="7"/>
    </row>
    <row r="81" spans="2:10" x14ac:dyDescent="0.25">
      <c r="C81" t="s">
        <v>120</v>
      </c>
      <c r="D81" s="7">
        <v>1.0134007344174734E-2</v>
      </c>
      <c r="E81" s="7">
        <v>5.1377403728531581E-3</v>
      </c>
      <c r="F81" s="7">
        <v>1.4883028696339706E-2</v>
      </c>
      <c r="H81" s="7"/>
      <c r="I81" s="7"/>
      <c r="J81" s="7"/>
    </row>
    <row r="82" spans="2:10" x14ac:dyDescent="0.25">
      <c r="D82" s="7"/>
      <c r="E82" s="7"/>
      <c r="F82" s="7"/>
    </row>
    <row r="83" spans="2:10" x14ac:dyDescent="0.25">
      <c r="D83" s="7"/>
      <c r="E83" s="7"/>
      <c r="F83" s="7"/>
    </row>
    <row r="84" spans="2:10" x14ac:dyDescent="0.25">
      <c r="B84" t="s">
        <v>111</v>
      </c>
    </row>
    <row r="86" spans="2:10" x14ac:dyDescent="0.25">
      <c r="D86" t="s">
        <v>2</v>
      </c>
      <c r="E86" t="s">
        <v>3</v>
      </c>
      <c r="F86" t="s">
        <v>4</v>
      </c>
    </row>
    <row r="87" spans="2:10" x14ac:dyDescent="0.25">
      <c r="C87" t="s">
        <v>47</v>
      </c>
      <c r="D87" s="11">
        <v>1.26E-2</v>
      </c>
      <c r="E87" s="11">
        <v>4.8999999999999998E-3</v>
      </c>
      <c r="F87" s="11">
        <v>1.95E-2</v>
      </c>
    </row>
    <row r="88" spans="2:10" x14ac:dyDescent="0.25">
      <c r="C88" t="s">
        <v>0</v>
      </c>
      <c r="D88" s="11">
        <v>9.7999999999999997E-3</v>
      </c>
      <c r="E88" s="11">
        <v>5.4999999999999997E-3</v>
      </c>
      <c r="F88" s="11">
        <v>1.37E-2</v>
      </c>
      <c r="H88" s="7"/>
      <c r="I88" s="7"/>
      <c r="J88" s="7"/>
    </row>
    <row r="89" spans="2:10" x14ac:dyDescent="0.25">
      <c r="C89" t="s">
        <v>19</v>
      </c>
      <c r="D89" s="11">
        <v>9.4999999999999998E-3</v>
      </c>
      <c r="E89" s="11">
        <v>3.0000000000000001E-3</v>
      </c>
      <c r="F89" s="11">
        <v>1.54E-2</v>
      </c>
      <c r="H89" s="7"/>
      <c r="I89" s="7"/>
      <c r="J89" s="7"/>
    </row>
    <row r="90" spans="2:10" x14ac:dyDescent="0.25">
      <c r="C90" t="s">
        <v>20</v>
      </c>
      <c r="D90" s="11">
        <v>9.7000000000000003E-3</v>
      </c>
      <c r="E90" s="11">
        <v>5.4999999999999997E-3</v>
      </c>
      <c r="F90" s="11">
        <v>1.34E-2</v>
      </c>
      <c r="H90" s="7"/>
      <c r="I90" s="7"/>
      <c r="J90" s="7"/>
    </row>
    <row r="91" spans="2:10" x14ac:dyDescent="0.25">
      <c r="C91" t="s">
        <v>18</v>
      </c>
      <c r="D91" s="7">
        <v>6.8999999999999999E-3</v>
      </c>
      <c r="E91" s="7">
        <v>3.7000000000000002E-3</v>
      </c>
      <c r="F91" s="7">
        <v>9.7000000000000003E-3</v>
      </c>
      <c r="H91" s="7"/>
      <c r="I91" s="7"/>
      <c r="J91" s="7"/>
    </row>
    <row r="92" spans="2:10" x14ac:dyDescent="0.25">
      <c r="C92" t="s">
        <v>116</v>
      </c>
      <c r="D92" s="7"/>
      <c r="E92" s="7"/>
      <c r="F92" s="7"/>
    </row>
    <row r="93" spans="2:10" x14ac:dyDescent="0.25">
      <c r="C93" t="s">
        <v>117</v>
      </c>
      <c r="D93" s="7"/>
      <c r="E93" s="7"/>
      <c r="F93" s="7"/>
    </row>
    <row r="94" spans="2:10" x14ac:dyDescent="0.25">
      <c r="C94" t="s">
        <v>118</v>
      </c>
      <c r="D94" s="7"/>
      <c r="E94" s="7"/>
      <c r="F94" s="7"/>
    </row>
    <row r="95" spans="2:10" x14ac:dyDescent="0.25">
      <c r="C95" t="s">
        <v>119</v>
      </c>
      <c r="D95" s="7"/>
      <c r="E95" s="7"/>
      <c r="F95" s="7"/>
    </row>
    <row r="96" spans="2:10" x14ac:dyDescent="0.25">
      <c r="C96" t="s">
        <v>120</v>
      </c>
      <c r="D96" s="7">
        <v>3.0638911417500223E-3</v>
      </c>
      <c r="E96" s="7">
        <v>2.251829611559392E-3</v>
      </c>
      <c r="F96" s="7">
        <v>3.8141470180305132E-3</v>
      </c>
    </row>
    <row r="99" spans="2:6" x14ac:dyDescent="0.25">
      <c r="B99" t="s">
        <v>103</v>
      </c>
    </row>
    <row r="101" spans="2:6" x14ac:dyDescent="0.25">
      <c r="D101" t="s">
        <v>2</v>
      </c>
      <c r="E101" t="s">
        <v>3</v>
      </c>
      <c r="F101" t="s">
        <v>4</v>
      </c>
    </row>
    <row r="102" spans="2:6" x14ac:dyDescent="0.25">
      <c r="C102" t="s">
        <v>47</v>
      </c>
      <c r="D102" s="11">
        <v>2.1399999999999999E-2</v>
      </c>
      <c r="E102" s="11">
        <v>1.41E-2</v>
      </c>
      <c r="F102" s="11">
        <v>2.8400000000000002E-2</v>
      </c>
    </row>
    <row r="103" spans="2:6" x14ac:dyDescent="0.25">
      <c r="C103" t="s">
        <v>0</v>
      </c>
      <c r="D103" s="11">
        <v>2.64E-2</v>
      </c>
      <c r="E103" s="11">
        <v>1.61E-2</v>
      </c>
      <c r="F103" s="11">
        <v>3.6499999999999998E-2</v>
      </c>
    </row>
    <row r="104" spans="2:6" x14ac:dyDescent="0.25">
      <c r="C104" t="s">
        <v>19</v>
      </c>
      <c r="D104" s="11">
        <v>2.5100000000000001E-2</v>
      </c>
      <c r="E104" s="11">
        <v>1.61E-2</v>
      </c>
      <c r="F104" s="11">
        <v>3.4099999999999998E-2</v>
      </c>
    </row>
    <row r="105" spans="2:6" x14ac:dyDescent="0.25">
      <c r="C105" t="s">
        <v>20</v>
      </c>
      <c r="D105" s="11">
        <v>2.3599999999999999E-2</v>
      </c>
      <c r="E105" s="11"/>
      <c r="F105" s="11">
        <v>1.3599999999999999E-2</v>
      </c>
    </row>
    <row r="106" spans="2:6" x14ac:dyDescent="0.25">
      <c r="C106" t="s">
        <v>18</v>
      </c>
      <c r="D106" s="7">
        <v>2.1899999999999999E-2</v>
      </c>
      <c r="E106" s="7">
        <v>1.21E-2</v>
      </c>
      <c r="F106" s="7">
        <v>3.1199999999999999E-2</v>
      </c>
    </row>
    <row r="107" spans="2:6" x14ac:dyDescent="0.25">
      <c r="C107" t="s">
        <v>116</v>
      </c>
      <c r="D107" s="7"/>
      <c r="E107" s="7"/>
      <c r="F107" s="7"/>
    </row>
    <row r="108" spans="2:6" x14ac:dyDescent="0.25">
      <c r="C108" t="s">
        <v>117</v>
      </c>
      <c r="D108" s="7"/>
      <c r="E108" s="7"/>
      <c r="F108" s="7"/>
    </row>
    <row r="109" spans="2:6" x14ac:dyDescent="0.25">
      <c r="C109" t="s">
        <v>118</v>
      </c>
      <c r="D109" s="7"/>
      <c r="E109" s="7"/>
      <c r="F109" s="7"/>
    </row>
    <row r="110" spans="2:6" x14ac:dyDescent="0.25">
      <c r="C110" t="s">
        <v>119</v>
      </c>
      <c r="D110" s="7"/>
      <c r="E110" s="7"/>
      <c r="F110" s="7"/>
    </row>
    <row r="111" spans="2:6" x14ac:dyDescent="0.25">
      <c r="C111" t="s">
        <v>120</v>
      </c>
      <c r="D111" s="7">
        <v>1.2185611230259311E-2</v>
      </c>
      <c r="E111" s="7">
        <v>8.5453100158982519E-3</v>
      </c>
      <c r="F111" s="7">
        <v>1.5690776884806735E-2</v>
      </c>
    </row>
    <row r="115" spans="2:6" x14ac:dyDescent="0.25">
      <c r="B115" t="s">
        <v>104</v>
      </c>
    </row>
    <row r="117" spans="2:6" x14ac:dyDescent="0.25">
      <c r="D117" t="s">
        <v>2</v>
      </c>
      <c r="E117" t="s">
        <v>3</v>
      </c>
      <c r="F117" t="s">
        <v>4</v>
      </c>
    </row>
    <row r="118" spans="2:6" x14ac:dyDescent="0.25">
      <c r="C118" t="s">
        <v>47</v>
      </c>
      <c r="D118" s="11">
        <v>1.8200000000000001E-2</v>
      </c>
      <c r="E118" s="11">
        <v>7.4999999999999997E-3</v>
      </c>
      <c r="F118" s="11">
        <v>2.8000000000000001E-2</v>
      </c>
    </row>
    <row r="119" spans="2:6" x14ac:dyDescent="0.25">
      <c r="C119" t="s">
        <v>0</v>
      </c>
      <c r="D119" s="11">
        <v>2.0500000000000001E-2</v>
      </c>
      <c r="E119" s="11">
        <v>1.18E-2</v>
      </c>
      <c r="F119" s="11">
        <v>2.86E-2</v>
      </c>
    </row>
    <row r="120" spans="2:6" x14ac:dyDescent="0.25">
      <c r="C120" t="s">
        <v>19</v>
      </c>
      <c r="D120" s="11">
        <v>1.8599999999999998E-2</v>
      </c>
      <c r="E120" s="11">
        <v>1.09E-2</v>
      </c>
      <c r="F120" s="11">
        <v>2.5700000000000001E-2</v>
      </c>
    </row>
    <row r="121" spans="2:6" x14ac:dyDescent="0.25">
      <c r="C121" t="s">
        <v>20</v>
      </c>
      <c r="D121" s="11">
        <v>2.1700000000000001E-2</v>
      </c>
      <c r="E121" s="11">
        <v>1.3299999999999999E-2</v>
      </c>
      <c r="F121" s="11">
        <v>2.9499999999999998E-2</v>
      </c>
    </row>
    <row r="122" spans="2:6" x14ac:dyDescent="0.25">
      <c r="C122" t="s">
        <v>18</v>
      </c>
      <c r="D122" s="11">
        <v>1.9699999999999999E-2</v>
      </c>
      <c r="E122" s="7">
        <v>1.17E-2</v>
      </c>
      <c r="F122" s="7">
        <v>2.7099999999999999E-2</v>
      </c>
    </row>
    <row r="123" spans="2:6" x14ac:dyDescent="0.25">
      <c r="C123" t="s">
        <v>116</v>
      </c>
      <c r="D123" s="7"/>
      <c r="E123" s="7"/>
      <c r="F123" s="7"/>
    </row>
    <row r="124" spans="2:6" x14ac:dyDescent="0.25">
      <c r="C124" t="s">
        <v>117</v>
      </c>
      <c r="D124" s="7"/>
      <c r="E124" s="7"/>
      <c r="F124" s="7"/>
    </row>
    <row r="125" spans="2:6" x14ac:dyDescent="0.25">
      <c r="C125" t="s">
        <v>118</v>
      </c>
      <c r="D125" s="7"/>
      <c r="E125" s="7"/>
      <c r="F125" s="7"/>
    </row>
    <row r="126" spans="2:6" x14ac:dyDescent="0.25">
      <c r="C126" t="s">
        <v>119</v>
      </c>
      <c r="D126" s="7"/>
      <c r="E126" s="7"/>
      <c r="F126" s="7"/>
    </row>
    <row r="127" spans="2:6" x14ac:dyDescent="0.25">
      <c r="C127" t="s">
        <v>120</v>
      </c>
      <c r="D127" s="7">
        <v>1.5771478989743026E-2</v>
      </c>
      <c r="E127" s="7">
        <v>1.1657142857142857E-2</v>
      </c>
      <c r="F127" s="7">
        <v>1.9607843137254902E-2</v>
      </c>
    </row>
  </sheetData>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6"/>
  <sheetViews>
    <sheetView workbookViewId="0">
      <selection activeCell="B15" sqref="B15:B19"/>
    </sheetView>
  </sheetViews>
  <sheetFormatPr defaultRowHeight="13.2" x14ac:dyDescent="0.25"/>
  <cols>
    <col min="2" max="2" width="13" customWidth="1"/>
    <col min="3" max="3" width="29.109375" customWidth="1"/>
    <col min="4" max="4" width="16.44140625" customWidth="1"/>
    <col min="5" max="5" width="15" customWidth="1"/>
    <col min="6" max="6" width="13.44140625" customWidth="1"/>
    <col min="17" max="17" width="13.88671875" customWidth="1"/>
    <col min="18" max="18" width="14" customWidth="1"/>
    <col min="19" max="19" width="18.6640625" customWidth="1"/>
    <col min="20" max="20" width="12.5546875" customWidth="1"/>
    <col min="28" max="28" width="12.88671875" customWidth="1"/>
    <col min="29" max="29" width="10.6640625" customWidth="1"/>
    <col min="30" max="30" width="14.33203125" customWidth="1"/>
    <col min="31" max="31" width="12.6640625" customWidth="1"/>
    <col min="34" max="34" width="13.33203125" customWidth="1"/>
    <col min="35" max="35" width="13.5546875" customWidth="1"/>
    <col min="36" max="36" width="15" customWidth="1"/>
    <col min="37" max="37" width="15.88671875" customWidth="1"/>
  </cols>
  <sheetData>
    <row r="1" spans="1:3" x14ac:dyDescent="0.25">
      <c r="A1" s="1" t="s">
        <v>22</v>
      </c>
    </row>
    <row r="4" spans="1:3" x14ac:dyDescent="0.25">
      <c r="B4" s="1" t="s">
        <v>48</v>
      </c>
    </row>
    <row r="5" spans="1:3" x14ac:dyDescent="0.25">
      <c r="C5" t="s">
        <v>16</v>
      </c>
    </row>
    <row r="6" spans="1:3" ht="39.6" x14ac:dyDescent="0.25">
      <c r="B6" s="12" t="s">
        <v>77</v>
      </c>
      <c r="C6">
        <v>694</v>
      </c>
    </row>
    <row r="7" spans="1:3" ht="39.6" x14ac:dyDescent="0.25">
      <c r="B7" s="12" t="s">
        <v>78</v>
      </c>
      <c r="C7">
        <v>261</v>
      </c>
    </row>
    <row r="8" spans="1:3" ht="39.6" x14ac:dyDescent="0.25">
      <c r="B8" s="12" t="s">
        <v>79</v>
      </c>
      <c r="C8">
        <v>106</v>
      </c>
    </row>
    <row r="9" spans="1:3" ht="39.6" x14ac:dyDescent="0.25">
      <c r="B9" s="12" t="s">
        <v>80</v>
      </c>
      <c r="C9">
        <v>96</v>
      </c>
    </row>
    <row r="10" spans="1:3" ht="26.4" x14ac:dyDescent="0.25">
      <c r="B10" s="12" t="s">
        <v>81</v>
      </c>
      <c r="C10">
        <v>55</v>
      </c>
    </row>
    <row r="15" spans="1:3" x14ac:dyDescent="0.25">
      <c r="B15" s="4" t="s">
        <v>32</v>
      </c>
    </row>
    <row r="16" spans="1:3" x14ac:dyDescent="0.25">
      <c r="B16" t="s">
        <v>9</v>
      </c>
    </row>
    <row r="18" spans="2:5" x14ac:dyDescent="0.25">
      <c r="B18" s="4" t="s">
        <v>24</v>
      </c>
    </row>
    <row r="19" spans="2:5" x14ac:dyDescent="0.25">
      <c r="B19" t="s">
        <v>44</v>
      </c>
    </row>
    <row r="23" spans="2:5" x14ac:dyDescent="0.25">
      <c r="C23" s="4" t="s">
        <v>74</v>
      </c>
      <c r="D23" s="4" t="s">
        <v>75</v>
      </c>
      <c r="E23" s="4" t="s">
        <v>76</v>
      </c>
    </row>
    <row r="24" spans="2:5" ht="26.4" x14ac:dyDescent="0.25">
      <c r="B24" t="s">
        <v>49</v>
      </c>
      <c r="C24" s="2" t="s">
        <v>56</v>
      </c>
      <c r="D24" t="s">
        <v>57</v>
      </c>
      <c r="E24" t="s">
        <v>57</v>
      </c>
    </row>
    <row r="25" spans="2:5" x14ac:dyDescent="0.25">
      <c r="C25" s="2" t="s">
        <v>58</v>
      </c>
      <c r="D25" t="s">
        <v>57</v>
      </c>
      <c r="E25" t="s">
        <v>57</v>
      </c>
    </row>
    <row r="26" spans="2:5" x14ac:dyDescent="0.25">
      <c r="C26" s="2" t="s">
        <v>59</v>
      </c>
      <c r="D26" t="s">
        <v>57</v>
      </c>
      <c r="E26" t="s">
        <v>57</v>
      </c>
    </row>
    <row r="27" spans="2:5" x14ac:dyDescent="0.25">
      <c r="C27" s="2" t="s">
        <v>60</v>
      </c>
      <c r="D27" t="s">
        <v>57</v>
      </c>
      <c r="E27" t="s">
        <v>57</v>
      </c>
    </row>
    <row r="28" spans="2:5" ht="26.4" x14ac:dyDescent="0.25">
      <c r="C28" s="2" t="s">
        <v>67</v>
      </c>
      <c r="D28" t="s">
        <v>57</v>
      </c>
      <c r="E28" t="s">
        <v>57</v>
      </c>
    </row>
    <row r="29" spans="2:5" ht="26.4" x14ac:dyDescent="0.25">
      <c r="C29" s="2" t="s">
        <v>69</v>
      </c>
      <c r="D29" t="s">
        <v>57</v>
      </c>
      <c r="E29" t="s">
        <v>57</v>
      </c>
    </row>
    <row r="30" spans="2:5" ht="26.4" x14ac:dyDescent="0.25">
      <c r="C30" s="2" t="s">
        <v>70</v>
      </c>
      <c r="D30" t="s">
        <v>57</v>
      </c>
      <c r="E30" t="s">
        <v>57</v>
      </c>
    </row>
    <row r="31" spans="2:5" ht="26.4" x14ac:dyDescent="0.25">
      <c r="C31" s="2" t="s">
        <v>51</v>
      </c>
      <c r="D31">
        <v>694</v>
      </c>
      <c r="E31">
        <v>783</v>
      </c>
    </row>
    <row r="32" spans="2:5" ht="26.4" x14ac:dyDescent="0.25">
      <c r="C32" s="2" t="s">
        <v>61</v>
      </c>
      <c r="D32">
        <v>261</v>
      </c>
      <c r="E32">
        <v>289</v>
      </c>
    </row>
    <row r="33" spans="3:5" ht="26.4" x14ac:dyDescent="0.25">
      <c r="C33" s="2" t="s">
        <v>66</v>
      </c>
      <c r="D33">
        <v>106</v>
      </c>
      <c r="E33">
        <v>109</v>
      </c>
    </row>
    <row r="34" spans="3:5" ht="26.4" x14ac:dyDescent="0.25">
      <c r="C34" s="2" t="s">
        <v>63</v>
      </c>
      <c r="D34">
        <v>96</v>
      </c>
      <c r="E34">
        <v>104</v>
      </c>
    </row>
    <row r="35" spans="3:5" x14ac:dyDescent="0.25">
      <c r="C35" s="2" t="s">
        <v>52</v>
      </c>
      <c r="D35">
        <v>55</v>
      </c>
      <c r="E35">
        <v>55</v>
      </c>
    </row>
    <row r="36" spans="3:5" x14ac:dyDescent="0.25">
      <c r="C36" s="2" t="s">
        <v>64</v>
      </c>
      <c r="D36">
        <v>40</v>
      </c>
      <c r="E36">
        <v>41</v>
      </c>
    </row>
    <row r="37" spans="3:5" ht="26.4" x14ac:dyDescent="0.25">
      <c r="C37" s="2" t="s">
        <v>65</v>
      </c>
      <c r="D37">
        <v>32</v>
      </c>
      <c r="E37">
        <v>35</v>
      </c>
    </row>
    <row r="38" spans="3:5" x14ac:dyDescent="0.25">
      <c r="C38" s="2" t="s">
        <v>71</v>
      </c>
      <c r="D38">
        <v>29</v>
      </c>
      <c r="E38">
        <v>30</v>
      </c>
    </row>
    <row r="39" spans="3:5" ht="26.4" x14ac:dyDescent="0.25">
      <c r="C39" s="2" t="s">
        <v>55</v>
      </c>
      <c r="D39">
        <v>25</v>
      </c>
      <c r="E39">
        <v>25</v>
      </c>
    </row>
    <row r="40" spans="3:5" ht="26.4" x14ac:dyDescent="0.25">
      <c r="C40" s="2" t="s">
        <v>50</v>
      </c>
      <c r="D40">
        <v>19</v>
      </c>
      <c r="E40">
        <v>19</v>
      </c>
    </row>
    <row r="41" spans="3:5" ht="26.4" x14ac:dyDescent="0.25">
      <c r="C41" s="2" t="s">
        <v>53</v>
      </c>
      <c r="D41">
        <v>16</v>
      </c>
      <c r="E41">
        <v>16</v>
      </c>
    </row>
    <row r="42" spans="3:5" ht="26.4" x14ac:dyDescent="0.25">
      <c r="C42" s="2" t="s">
        <v>68</v>
      </c>
      <c r="D42">
        <v>15</v>
      </c>
      <c r="E42">
        <v>15</v>
      </c>
    </row>
    <row r="43" spans="3:5" x14ac:dyDescent="0.25">
      <c r="C43" s="2" t="s">
        <v>62</v>
      </c>
      <c r="D43">
        <v>10</v>
      </c>
      <c r="E43">
        <v>10</v>
      </c>
    </row>
    <row r="44" spans="3:5" x14ac:dyDescent="0.25">
      <c r="C44" s="2" t="s">
        <v>73</v>
      </c>
      <c r="D44">
        <v>9</v>
      </c>
      <c r="E44">
        <v>9</v>
      </c>
    </row>
    <row r="45" spans="3:5" ht="26.4" x14ac:dyDescent="0.25">
      <c r="C45" s="2" t="s">
        <v>54</v>
      </c>
      <c r="D45">
        <v>6</v>
      </c>
      <c r="E45">
        <v>6</v>
      </c>
    </row>
    <row r="46" spans="3:5" x14ac:dyDescent="0.25">
      <c r="C46" s="2" t="s">
        <v>72</v>
      </c>
      <c r="D46">
        <v>5</v>
      </c>
      <c r="E46">
        <v>5</v>
      </c>
    </row>
  </sheetData>
  <autoFilter ref="C23:E46" xr:uid="{00000000-0009-0000-0000-000004000000}">
    <sortState xmlns:xlrd2="http://schemas.microsoft.com/office/spreadsheetml/2017/richdata2" ref="C24:E46">
      <sortCondition descending="1" ref="D23:D46"/>
    </sortState>
  </autoFilter>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7"/>
  <sheetViews>
    <sheetView workbookViewId="0">
      <selection activeCell="K8" sqref="K8"/>
    </sheetView>
  </sheetViews>
  <sheetFormatPr defaultColWidth="12.5546875" defaultRowHeight="13.2" x14ac:dyDescent="0.25"/>
  <cols>
    <col min="1" max="1" width="20.44140625" customWidth="1"/>
    <col min="2" max="2" width="12.5546875" customWidth="1"/>
  </cols>
  <sheetData>
    <row r="1" spans="1:22" ht="19.8" x14ac:dyDescent="0.4">
      <c r="A1" s="25" t="s">
        <v>95</v>
      </c>
      <c r="B1" s="25"/>
      <c r="C1" s="25"/>
      <c r="D1" s="25"/>
      <c r="E1" s="25"/>
      <c r="F1" s="25"/>
      <c r="G1" s="25"/>
      <c r="H1" s="25"/>
      <c r="I1" s="25"/>
      <c r="J1" s="25"/>
      <c r="M1" s="25" t="s">
        <v>96</v>
      </c>
      <c r="N1" s="25"/>
      <c r="O1" s="25"/>
      <c r="P1" s="25"/>
      <c r="Q1" s="25"/>
      <c r="R1" s="25"/>
      <c r="S1" s="25"/>
      <c r="T1" s="25"/>
      <c r="U1" s="25"/>
      <c r="V1" s="25"/>
    </row>
    <row r="2" spans="1:22" ht="13.8" thickBot="1" x14ac:dyDescent="0.3">
      <c r="A2" s="16" t="s">
        <v>82</v>
      </c>
      <c r="B2" s="17" t="s">
        <v>83</v>
      </c>
      <c r="C2" s="17" t="s">
        <v>84</v>
      </c>
      <c r="D2" s="17" t="s">
        <v>85</v>
      </c>
      <c r="E2" s="17" t="s">
        <v>46</v>
      </c>
      <c r="F2" s="17" t="s">
        <v>47</v>
      </c>
      <c r="G2" s="17" t="s">
        <v>0</v>
      </c>
      <c r="H2" s="17" t="s">
        <v>19</v>
      </c>
      <c r="I2" s="17" t="s">
        <v>20</v>
      </c>
      <c r="J2" s="17" t="s">
        <v>18</v>
      </c>
      <c r="M2" s="16" t="s">
        <v>82</v>
      </c>
      <c r="N2" s="17" t="s">
        <v>83</v>
      </c>
      <c r="O2" s="17" t="s">
        <v>84</v>
      </c>
      <c r="P2" s="17" t="s">
        <v>85</v>
      </c>
      <c r="Q2" s="17" t="s">
        <v>46</v>
      </c>
      <c r="R2" s="17" t="s">
        <v>47</v>
      </c>
      <c r="S2" s="17" t="s">
        <v>0</v>
      </c>
      <c r="T2" s="17" t="s">
        <v>19</v>
      </c>
      <c r="U2" s="17" t="s">
        <v>20</v>
      </c>
      <c r="V2" s="17" t="s">
        <v>18</v>
      </c>
    </row>
    <row r="3" spans="1:22" ht="13.8" thickTop="1" x14ac:dyDescent="0.25">
      <c r="A3" s="18" t="s">
        <v>86</v>
      </c>
      <c r="B3" s="19">
        <f>N3/89231</f>
        <v>9.895664062937768E-3</v>
      </c>
      <c r="C3" s="19">
        <f>O3/89154</f>
        <v>1.1653991968952599E-2</v>
      </c>
      <c r="D3" s="19">
        <f>P3/89065</f>
        <v>1.2103519901195755E-2</v>
      </c>
      <c r="E3" s="19">
        <f>Q3/89640</f>
        <v>1.5283355644801428E-2</v>
      </c>
      <c r="F3" s="19">
        <f>R3/90848</f>
        <v>1.4133497710461429E-2</v>
      </c>
      <c r="G3" s="19">
        <f>S3/91733</f>
        <v>1.2067631059705885E-2</v>
      </c>
      <c r="H3" s="19">
        <f>T3/92565</f>
        <v>1.0133419759088208E-2</v>
      </c>
      <c r="I3" s="19">
        <f>U3/92400</f>
        <v>4.3939393939393936E-3</v>
      </c>
      <c r="J3" s="19">
        <f>V3/91402</f>
        <v>5.1311787488238772E-3</v>
      </c>
      <c r="M3" s="18" t="s">
        <v>86</v>
      </c>
      <c r="N3" s="23">
        <v>883</v>
      </c>
      <c r="O3" s="23">
        <f>1039</f>
        <v>1039</v>
      </c>
      <c r="P3" s="23">
        <v>1078</v>
      </c>
      <c r="Q3" s="23">
        <v>1370</v>
      </c>
      <c r="R3" s="23">
        <v>1284</v>
      </c>
      <c r="S3" s="23">
        <v>1107</v>
      </c>
      <c r="T3" s="23">
        <v>938</v>
      </c>
      <c r="U3" s="23">
        <v>406</v>
      </c>
      <c r="V3" s="23">
        <v>469</v>
      </c>
    </row>
    <row r="4" spans="1:22" x14ac:dyDescent="0.25">
      <c r="A4" s="20" t="s">
        <v>87</v>
      </c>
      <c r="B4" s="14">
        <f>N4/9582</f>
        <v>5.176372364850762E-2</v>
      </c>
      <c r="C4" s="14">
        <f>O4/9834</f>
        <v>5.4098027252389672E-2</v>
      </c>
      <c r="D4" s="14">
        <f>P4/10324</f>
        <v>5.9085625726462608E-2</v>
      </c>
      <c r="E4" s="14" t="s">
        <v>97</v>
      </c>
      <c r="F4" s="14">
        <f>R4/11434</f>
        <v>4.7752317649116673E-2</v>
      </c>
      <c r="G4" s="14">
        <f>S4/12050</f>
        <v>3.9087136929460579E-2</v>
      </c>
      <c r="H4" s="14">
        <f>T4/12308</f>
        <v>3.3067923301917455E-2</v>
      </c>
      <c r="I4" s="14">
        <f>U4/12523</f>
        <v>3.5854028587399188E-2</v>
      </c>
      <c r="J4" s="14">
        <f>V4/12949</f>
        <v>4.0929801529075605E-2</v>
      </c>
      <c r="M4" s="20" t="s">
        <v>87</v>
      </c>
      <c r="N4" s="15">
        <v>496</v>
      </c>
      <c r="O4" s="15">
        <v>532</v>
      </c>
      <c r="P4" s="15">
        <v>610</v>
      </c>
      <c r="Q4" s="15" t="s">
        <v>97</v>
      </c>
      <c r="R4" s="15">
        <v>546</v>
      </c>
      <c r="S4" s="15">
        <v>471</v>
      </c>
      <c r="T4" s="15">
        <v>407</v>
      </c>
      <c r="U4" s="15">
        <v>449</v>
      </c>
      <c r="V4" s="15">
        <v>530</v>
      </c>
    </row>
    <row r="5" spans="1:22" x14ac:dyDescent="0.25">
      <c r="A5" s="21" t="s">
        <v>88</v>
      </c>
      <c r="B5" s="22">
        <f>N5/7397</f>
        <v>4.1908881979180745E-3</v>
      </c>
      <c r="C5" s="22">
        <f>O5/7452</f>
        <v>5.5018786902844875E-3</v>
      </c>
      <c r="D5" s="22">
        <f>P5/7470</f>
        <v>2.008032128514056E-3</v>
      </c>
      <c r="E5" s="22">
        <f>Q5/7556</f>
        <v>2.3822128110111171E-3</v>
      </c>
      <c r="F5" s="22">
        <f>R5/7684</f>
        <v>1.5616866215512754E-3</v>
      </c>
      <c r="G5" s="22">
        <f>S5/7896</f>
        <v>1.7730496453900709E-3</v>
      </c>
      <c r="H5" s="22">
        <f>T5/7961</f>
        <v>2.889084285893732E-3</v>
      </c>
      <c r="I5" s="22">
        <f>U5/8021</f>
        <v>2.2441092133150481E-3</v>
      </c>
      <c r="J5" s="22">
        <f>V5/8148</f>
        <v>8.5910652920962198E-4</v>
      </c>
      <c r="M5" s="21" t="s">
        <v>88</v>
      </c>
      <c r="N5" s="24">
        <v>31</v>
      </c>
      <c r="O5" s="24">
        <v>41</v>
      </c>
      <c r="P5" s="24">
        <v>15</v>
      </c>
      <c r="Q5" s="24">
        <v>18</v>
      </c>
      <c r="R5" s="24">
        <v>12</v>
      </c>
      <c r="S5" s="24">
        <v>14</v>
      </c>
      <c r="T5" s="24">
        <v>23</v>
      </c>
      <c r="U5" s="24">
        <v>18</v>
      </c>
      <c r="V5" s="24">
        <v>7</v>
      </c>
    </row>
    <row r="6" spans="1:22" x14ac:dyDescent="0.25">
      <c r="A6" s="20" t="s">
        <v>89</v>
      </c>
      <c r="B6" s="14">
        <f>N6/1294</f>
        <v>9.2735703245749607E-3</v>
      </c>
      <c r="C6" s="14">
        <f>O6/1318</f>
        <v>9.104704097116844E-3</v>
      </c>
      <c r="D6" s="14" t="s">
        <v>97</v>
      </c>
      <c r="E6" s="14">
        <f>Q6/1332</f>
        <v>1.4264264264264264E-2</v>
      </c>
      <c r="F6" s="14">
        <f>R6/1321</f>
        <v>1.1355034065102196E-2</v>
      </c>
      <c r="G6" s="14" t="s">
        <v>97</v>
      </c>
      <c r="H6" s="14">
        <f>T6/1417</f>
        <v>2.3288637967537051E-2</v>
      </c>
      <c r="I6" s="14">
        <f>U6/1443</f>
        <v>6.2370062370062374E-3</v>
      </c>
      <c r="J6" s="14">
        <f>V6/1475</f>
        <v>1.0169491525423728E-2</v>
      </c>
      <c r="M6" s="20" t="s">
        <v>89</v>
      </c>
      <c r="N6" s="15">
        <v>12</v>
      </c>
      <c r="O6" s="15">
        <v>12</v>
      </c>
      <c r="P6" s="15" t="s">
        <v>97</v>
      </c>
      <c r="Q6" s="15">
        <v>19</v>
      </c>
      <c r="R6" s="15">
        <v>15</v>
      </c>
      <c r="S6" s="15" t="s">
        <v>97</v>
      </c>
      <c r="T6" s="15">
        <v>33</v>
      </c>
      <c r="U6" s="15">
        <v>9</v>
      </c>
      <c r="V6" s="15">
        <v>15</v>
      </c>
    </row>
    <row r="7" spans="1:22" x14ac:dyDescent="0.25">
      <c r="A7" s="20" t="s">
        <v>113</v>
      </c>
      <c r="B7" s="14">
        <f>N7/23830</f>
        <v>1.9513218631976501E-2</v>
      </c>
      <c r="C7" s="14">
        <f>O7/26110</f>
        <v>1.8077364994255076E-2</v>
      </c>
      <c r="D7" s="14">
        <f>P7/28152</f>
        <v>1.4741403807899971E-2</v>
      </c>
      <c r="E7" s="14">
        <f>Q7/30016</f>
        <v>1.5391791044776119E-2</v>
      </c>
      <c r="F7" s="14">
        <f>R7/32041</f>
        <v>1.0892294247994757E-2</v>
      </c>
      <c r="G7" s="14">
        <f>S7/33660</f>
        <v>1.0011883541295306E-2</v>
      </c>
      <c r="H7" s="14">
        <f>T7/34842</f>
        <v>8.9547098329602198E-3</v>
      </c>
      <c r="I7" s="14">
        <f>U7/35987</f>
        <v>8.5308583655208832E-3</v>
      </c>
      <c r="J7" s="14">
        <f>V7/36981</f>
        <v>7.1658419188231791E-3</v>
      </c>
      <c r="M7" s="20" t="s">
        <v>113</v>
      </c>
      <c r="N7" s="15">
        <v>465</v>
      </c>
      <c r="O7" s="15">
        <v>472</v>
      </c>
      <c r="P7" s="15">
        <v>415</v>
      </c>
      <c r="Q7" s="15">
        <v>462</v>
      </c>
      <c r="R7" s="15">
        <v>349</v>
      </c>
      <c r="S7" s="15">
        <v>337</v>
      </c>
      <c r="T7" s="15">
        <v>312</v>
      </c>
      <c r="U7" s="15">
        <v>307</v>
      </c>
      <c r="V7" s="15">
        <v>265</v>
      </c>
    </row>
    <row r="8" spans="1:22" x14ac:dyDescent="0.25">
      <c r="A8" s="21" t="s">
        <v>90</v>
      </c>
      <c r="B8" s="22">
        <f>N8/5601</f>
        <v>1.5711480092840565E-2</v>
      </c>
      <c r="C8" s="22">
        <f>O8/5898</f>
        <v>1.4920311970159377E-2</v>
      </c>
      <c r="D8" s="22">
        <f>P8/6126</f>
        <v>9.4678419849820433E-3</v>
      </c>
      <c r="E8" s="22">
        <f>Q8/6446</f>
        <v>4.1886441203847343E-3</v>
      </c>
      <c r="F8" s="22">
        <f>R8/6832</f>
        <v>6.586651053864169E-3</v>
      </c>
      <c r="G8" s="22">
        <f>S8/7251</f>
        <v>4.5510964004964833E-3</v>
      </c>
      <c r="H8" s="22">
        <f>T8/7677</f>
        <v>4.5590725543832224E-3</v>
      </c>
      <c r="I8" s="22">
        <f>U8/8081</f>
        <v>3.5886647692117313E-3</v>
      </c>
      <c r="J8" s="22">
        <f>V8/8600</f>
        <v>2.2093023255813954E-3</v>
      </c>
      <c r="M8" s="21" t="s">
        <v>90</v>
      </c>
      <c r="N8" s="24">
        <v>88</v>
      </c>
      <c r="O8" s="24">
        <v>88</v>
      </c>
      <c r="P8" s="24">
        <v>58</v>
      </c>
      <c r="Q8" s="24">
        <v>27</v>
      </c>
      <c r="R8" s="24">
        <v>45</v>
      </c>
      <c r="S8" s="24">
        <v>33</v>
      </c>
      <c r="T8" s="24">
        <v>35</v>
      </c>
      <c r="U8" s="24">
        <v>29</v>
      </c>
      <c r="V8" s="24">
        <v>19</v>
      </c>
    </row>
    <row r="9" spans="1:22" x14ac:dyDescent="0.25">
      <c r="A9" s="20" t="s">
        <v>91</v>
      </c>
      <c r="B9" s="14">
        <f>N9/5405</f>
        <v>1.1840888066604995E-2</v>
      </c>
      <c r="C9" s="14">
        <f>O9/6007</f>
        <v>4.827701015481938E-3</v>
      </c>
      <c r="D9" s="14">
        <f>P9/6677</f>
        <v>4.2384304328291149E-2</v>
      </c>
      <c r="E9" s="14">
        <f>Q9/7117</f>
        <v>2.7118167767317691E-2</v>
      </c>
      <c r="F9" s="14">
        <f>R9/7775</f>
        <v>2.2508038585209004E-2</v>
      </c>
      <c r="G9" s="14">
        <f>S9/8040</f>
        <v>3.0472636815920398E-2</v>
      </c>
      <c r="H9" s="14">
        <f>T9/8513</f>
        <v>2.6430165629037942E-2</v>
      </c>
      <c r="I9" s="14">
        <f>U9/9014</f>
        <v>2.4295540270690037E-2</v>
      </c>
      <c r="J9" s="14">
        <f>V9/9541</f>
        <v>2.0438109212870769E-2</v>
      </c>
      <c r="M9" s="20" t="s">
        <v>91</v>
      </c>
      <c r="N9" s="15">
        <v>64</v>
      </c>
      <c r="O9" s="15">
        <v>29</v>
      </c>
      <c r="P9" s="15">
        <v>283</v>
      </c>
      <c r="Q9" s="15">
        <v>193</v>
      </c>
      <c r="R9" s="15">
        <v>175</v>
      </c>
      <c r="S9" s="15">
        <v>245</v>
      </c>
      <c r="T9" s="15">
        <v>225</v>
      </c>
      <c r="U9" s="15">
        <v>219</v>
      </c>
      <c r="V9" s="15">
        <v>195</v>
      </c>
    </row>
    <row r="10" spans="1:22" x14ac:dyDescent="0.25">
      <c r="A10" s="21" t="s">
        <v>92</v>
      </c>
      <c r="B10" s="22">
        <f>N10/20883</f>
        <v>8.5715653881147345E-3</v>
      </c>
      <c r="C10" s="22">
        <f>O10/21828</f>
        <v>8.8876672164192785E-3</v>
      </c>
      <c r="D10" s="22">
        <f>P10/22619</f>
        <v>1.1229497325257527E-2</v>
      </c>
      <c r="E10" s="22">
        <f>Q10/23425</f>
        <v>1.2166488794023479E-2</v>
      </c>
      <c r="F10" s="22">
        <f>R10/23814</f>
        <v>1.2135718484924835E-2</v>
      </c>
      <c r="G10" s="22">
        <f>S10/24536</f>
        <v>1.2756765568959896E-2</v>
      </c>
      <c r="H10" s="22">
        <f>T10/24664</f>
        <v>1.4352903016542328E-2</v>
      </c>
      <c r="I10" s="22">
        <f>U10/25049</f>
        <v>1.7086510439538505E-2</v>
      </c>
      <c r="J10" s="22">
        <f>V10/25307</f>
        <v>1.4027739360651202E-2</v>
      </c>
      <c r="M10" s="21" t="s">
        <v>92</v>
      </c>
      <c r="N10" s="24">
        <v>179</v>
      </c>
      <c r="O10" s="24">
        <v>194</v>
      </c>
      <c r="P10" s="24">
        <v>254</v>
      </c>
      <c r="Q10" s="24">
        <v>285</v>
      </c>
      <c r="R10" s="24">
        <v>289</v>
      </c>
      <c r="S10" s="24">
        <v>313</v>
      </c>
      <c r="T10" s="24">
        <v>354</v>
      </c>
      <c r="U10" s="24">
        <v>428</v>
      </c>
      <c r="V10" s="24">
        <v>355</v>
      </c>
    </row>
    <row r="11" spans="1:22" x14ac:dyDescent="0.25">
      <c r="A11" s="20" t="s">
        <v>93</v>
      </c>
      <c r="B11" s="14"/>
      <c r="C11" s="14"/>
      <c r="D11" s="14">
        <f>P11/4819172</f>
        <v>1.9587804710020727E-2</v>
      </c>
      <c r="E11" s="14">
        <f>Q11/4892748</f>
        <v>1.7608918342003309E-2</v>
      </c>
      <c r="F11" s="14">
        <f>R11/4978999</f>
        <v>1.563406620487371E-2</v>
      </c>
      <c r="G11" s="14">
        <f>S11/5063863</f>
        <v>1.4861578996114231E-2</v>
      </c>
      <c r="H11" s="14">
        <f>T11/5127376</f>
        <v>1.3707401212628059E-2</v>
      </c>
      <c r="I11" s="14">
        <f>U11/5205659</f>
        <v>1.2020380128625406E-2</v>
      </c>
      <c r="J11" s="14">
        <f>V11/5289752</f>
        <v>1.0994277236437549E-2</v>
      </c>
      <c r="M11" s="20" t="s">
        <v>93</v>
      </c>
      <c r="N11" s="15"/>
      <c r="O11" s="15"/>
      <c r="P11" s="15">
        <v>94397</v>
      </c>
      <c r="Q11" s="15">
        <v>86156</v>
      </c>
      <c r="R11" s="15">
        <v>77842</v>
      </c>
      <c r="S11" s="15">
        <v>75257</v>
      </c>
      <c r="T11" s="15">
        <v>70283</v>
      </c>
      <c r="U11" s="15">
        <v>62574</v>
      </c>
      <c r="V11" s="15">
        <v>58157</v>
      </c>
    </row>
    <row r="13" spans="1:22" x14ac:dyDescent="0.25">
      <c r="A13" s="4" t="s">
        <v>94</v>
      </c>
    </row>
    <row r="16" spans="1:22" x14ac:dyDescent="0.25">
      <c r="A16" s="4" t="s">
        <v>131</v>
      </c>
    </row>
    <row r="17" spans="1:1" x14ac:dyDescent="0.25">
      <c r="A17" t="s">
        <v>44</v>
      </c>
    </row>
  </sheetData>
  <mergeCells count="2">
    <mergeCell ref="A1:J1"/>
    <mergeCell ref="M1:V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Overall Breakdown</vt:lpstr>
      <vt:lpstr>Race by District</vt:lpstr>
      <vt:lpstr>ISS Trends</vt:lpstr>
      <vt:lpstr>By Gender</vt:lpstr>
      <vt:lpstr>Reasons for DAEP Placement</vt:lpstr>
      <vt:lpstr>Discretionary Removals</vt:lpstr>
      <vt:lpstr>Sheet1</vt:lpstr>
    </vt:vector>
  </TitlesOfParts>
  <Company>Austin Independent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AISD</dc:creator>
  <cp:lastModifiedBy>CAN 4</cp:lastModifiedBy>
  <dcterms:created xsi:type="dcterms:W3CDTF">2009-06-11T19:18:56Z</dcterms:created>
  <dcterms:modified xsi:type="dcterms:W3CDTF">2020-03-05T22:59:55Z</dcterms:modified>
</cp:coreProperties>
</file>