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C:\Users\CAN 4\Documents\Dashboards\RB21\2022\Physically Healthy and Safe\2 Uninsured\for web\"/>
    </mc:Choice>
  </mc:AlternateContent>
  <xr:revisionPtr revIDLastSave="0" documentId="8_{F40E9E27-E253-45EF-975B-2CFD2B1CE40D}" xr6:coauthVersionLast="47" xr6:coauthVersionMax="47" xr10:uidLastSave="{00000000-0000-0000-0000-000000000000}"/>
  <bookViews>
    <workbookView xWindow="22932" yWindow="-108" windowWidth="20376" windowHeight="12360" tabRatio="500" xr2:uid="{00000000-000D-0000-FFFF-FFFF00000000}"/>
  </bookViews>
  <sheets>
    <sheet name="Total" sheetId="1" r:id="rId1"/>
    <sheet name="Total MOE" sheetId="3" r:id="rId2"/>
    <sheet name="Race" sheetId="2" r:id="rId3"/>
    <sheet name="Race MO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3" i="4" l="1"/>
  <c r="U19" i="4"/>
  <c r="T19" i="4"/>
  <c r="S19" i="4"/>
  <c r="R19" i="4"/>
  <c r="U18" i="4"/>
  <c r="T18" i="4"/>
  <c r="S18" i="4"/>
  <c r="R18" i="4"/>
  <c r="U16" i="4"/>
  <c r="T16" i="4"/>
  <c r="S16" i="4"/>
  <c r="R16" i="4"/>
  <c r="U15" i="4"/>
  <c r="T15" i="4"/>
  <c r="S15" i="4"/>
  <c r="R15" i="4"/>
  <c r="T17" i="4" l="1"/>
  <c r="S17" i="4"/>
  <c r="R31" i="4" s="1"/>
  <c r="V31" i="4" s="1"/>
  <c r="U17" i="4"/>
  <c r="R17" i="4"/>
  <c r="S20" i="4"/>
  <c r="S31" i="4" s="1"/>
  <c r="U31" i="4" s="1"/>
  <c r="T20" i="4"/>
  <c r="T21" i="4" s="1"/>
  <c r="U20" i="4"/>
  <c r="U22" i="4" s="1"/>
  <c r="R20" i="4"/>
  <c r="R21" i="4" s="1"/>
  <c r="L70" i="3"/>
  <c r="K70" i="3"/>
  <c r="F70" i="3"/>
  <c r="E70" i="3"/>
  <c r="L69" i="3"/>
  <c r="K69" i="3"/>
  <c r="F69" i="3"/>
  <c r="E69" i="3"/>
  <c r="L68" i="3"/>
  <c r="K68" i="3"/>
  <c r="F68" i="3"/>
  <c r="E68" i="3"/>
  <c r="L67" i="3"/>
  <c r="K67" i="3"/>
  <c r="F67" i="3"/>
  <c r="E67" i="3"/>
  <c r="L66" i="3"/>
  <c r="K66" i="3"/>
  <c r="F66" i="3"/>
  <c r="E66" i="3"/>
  <c r="L65" i="3"/>
  <c r="K65" i="3"/>
  <c r="F65" i="3"/>
  <c r="E65" i="3"/>
  <c r="L64" i="3"/>
  <c r="K64" i="3"/>
  <c r="F64" i="3"/>
  <c r="E64" i="3"/>
  <c r="L63" i="3"/>
  <c r="K63" i="3"/>
  <c r="F63" i="3"/>
  <c r="E63" i="3"/>
  <c r="L62" i="3"/>
  <c r="K62" i="3"/>
  <c r="F62" i="3"/>
  <c r="E62" i="3"/>
  <c r="L61" i="3"/>
  <c r="K61" i="3"/>
  <c r="F61" i="3"/>
  <c r="E61" i="3"/>
  <c r="L60" i="3"/>
  <c r="K60" i="3"/>
  <c r="F60" i="3"/>
  <c r="E60" i="3"/>
  <c r="L59" i="3"/>
  <c r="K59" i="3"/>
  <c r="C59" i="3"/>
  <c r="D59" i="3"/>
  <c r="F59" i="3"/>
  <c r="E59" i="3"/>
  <c r="L56" i="3"/>
  <c r="K56" i="3"/>
  <c r="F56" i="3"/>
  <c r="E56" i="3"/>
  <c r="L55" i="3"/>
  <c r="K55" i="3"/>
  <c r="F55" i="3"/>
  <c r="E55" i="3"/>
  <c r="L54" i="3"/>
  <c r="K54" i="3"/>
  <c r="F54" i="3"/>
  <c r="E54" i="3"/>
  <c r="L53" i="3"/>
  <c r="K53" i="3"/>
  <c r="F53" i="3"/>
  <c r="E53" i="3"/>
  <c r="L52" i="3"/>
  <c r="K52" i="3"/>
  <c r="F52" i="3"/>
  <c r="E52" i="3"/>
  <c r="L51" i="3"/>
  <c r="K51" i="3"/>
  <c r="F51" i="3"/>
  <c r="E51" i="3"/>
  <c r="L50" i="3"/>
  <c r="K50" i="3"/>
  <c r="F50" i="3"/>
  <c r="E50" i="3"/>
  <c r="L49" i="3"/>
  <c r="K49" i="3"/>
  <c r="F49" i="3"/>
  <c r="E49" i="3"/>
  <c r="L48" i="3"/>
  <c r="K48" i="3"/>
  <c r="F48" i="3"/>
  <c r="E48" i="3"/>
  <c r="L47" i="3"/>
  <c r="K47" i="3"/>
  <c r="F47" i="3"/>
  <c r="E47" i="3"/>
  <c r="L46" i="3"/>
  <c r="K46" i="3"/>
  <c r="F46" i="3"/>
  <c r="E46" i="3"/>
  <c r="L45" i="3"/>
  <c r="K45" i="3"/>
  <c r="C45" i="3"/>
  <c r="D45" i="3"/>
  <c r="F45" i="3"/>
  <c r="E45" i="3"/>
  <c r="L42" i="3"/>
  <c r="K42" i="3"/>
  <c r="F42" i="3"/>
  <c r="E42" i="3"/>
  <c r="L41" i="3"/>
  <c r="K41" i="3"/>
  <c r="F41" i="3"/>
  <c r="E41" i="3"/>
  <c r="L40" i="3"/>
  <c r="K40" i="3"/>
  <c r="F40" i="3"/>
  <c r="E40" i="3"/>
  <c r="L39" i="3"/>
  <c r="K39" i="3"/>
  <c r="F39" i="3"/>
  <c r="E39" i="3"/>
  <c r="L38" i="3"/>
  <c r="K38" i="3"/>
  <c r="F38" i="3"/>
  <c r="E38" i="3"/>
  <c r="L37" i="3"/>
  <c r="K37" i="3"/>
  <c r="F37" i="3"/>
  <c r="E37" i="3"/>
  <c r="L36" i="3"/>
  <c r="K36" i="3"/>
  <c r="F36" i="3"/>
  <c r="E36" i="3"/>
  <c r="L35" i="3"/>
  <c r="K35" i="3"/>
  <c r="F35" i="3"/>
  <c r="E35" i="3"/>
  <c r="L34" i="3"/>
  <c r="K34" i="3"/>
  <c r="F34" i="3"/>
  <c r="E34" i="3"/>
  <c r="L33" i="3"/>
  <c r="K33" i="3"/>
  <c r="F33" i="3"/>
  <c r="E33" i="3"/>
  <c r="L32" i="3"/>
  <c r="K32" i="3"/>
  <c r="F32" i="3"/>
  <c r="E32" i="3"/>
  <c r="L31" i="3"/>
  <c r="K31" i="3"/>
  <c r="C31" i="3"/>
  <c r="D31" i="3"/>
  <c r="F31" i="3"/>
  <c r="E31" i="3"/>
  <c r="L28" i="3"/>
  <c r="K28" i="3"/>
  <c r="F28" i="3"/>
  <c r="E28" i="3"/>
  <c r="L27" i="3"/>
  <c r="K27" i="3"/>
  <c r="F27" i="3"/>
  <c r="E27" i="3"/>
  <c r="L26" i="3"/>
  <c r="K26" i="3"/>
  <c r="F26" i="3"/>
  <c r="E26" i="3"/>
  <c r="L25" i="3"/>
  <c r="K25" i="3"/>
  <c r="F25" i="3"/>
  <c r="E25" i="3"/>
  <c r="L24" i="3"/>
  <c r="K24" i="3"/>
  <c r="F24" i="3"/>
  <c r="E24" i="3"/>
  <c r="L23" i="3"/>
  <c r="K23" i="3"/>
  <c r="F23" i="3"/>
  <c r="E23" i="3"/>
  <c r="L22" i="3"/>
  <c r="K22" i="3"/>
  <c r="F22" i="3"/>
  <c r="E22" i="3"/>
  <c r="L21" i="3"/>
  <c r="K21" i="3"/>
  <c r="F21" i="3"/>
  <c r="E21" i="3"/>
  <c r="L20" i="3"/>
  <c r="K20" i="3"/>
  <c r="F20" i="3"/>
  <c r="E20" i="3"/>
  <c r="L19" i="3"/>
  <c r="K19" i="3"/>
  <c r="F19" i="3"/>
  <c r="E19" i="3"/>
  <c r="L18" i="3"/>
  <c r="K18" i="3"/>
  <c r="F18" i="3"/>
  <c r="E18" i="3"/>
  <c r="L17" i="3"/>
  <c r="K17" i="3"/>
  <c r="C17" i="3"/>
  <c r="D17" i="3"/>
  <c r="F17" i="3"/>
  <c r="E17" i="3"/>
  <c r="L14" i="3"/>
  <c r="K14" i="3"/>
  <c r="F14" i="3"/>
  <c r="E14" i="3"/>
  <c r="L13" i="3"/>
  <c r="K13" i="3"/>
  <c r="F13" i="3"/>
  <c r="E13" i="3"/>
  <c r="L12" i="3"/>
  <c r="K12" i="3"/>
  <c r="F12" i="3"/>
  <c r="E12" i="3"/>
  <c r="L11" i="3"/>
  <c r="K11" i="3"/>
  <c r="F11" i="3"/>
  <c r="E11" i="3"/>
  <c r="L10" i="3"/>
  <c r="K10" i="3"/>
  <c r="F10" i="3"/>
  <c r="E10" i="3"/>
  <c r="L9" i="3"/>
  <c r="K9" i="3"/>
  <c r="F9" i="3"/>
  <c r="E9" i="3"/>
  <c r="L8" i="3"/>
  <c r="K8" i="3"/>
  <c r="F8" i="3"/>
  <c r="E8" i="3"/>
  <c r="Q7" i="3"/>
  <c r="P7" i="3"/>
  <c r="O7" i="3"/>
  <c r="L7" i="3"/>
  <c r="K7" i="3"/>
  <c r="F7" i="3"/>
  <c r="E7" i="3"/>
  <c r="Q6" i="3"/>
  <c r="P6" i="3"/>
  <c r="O6" i="3"/>
  <c r="L6" i="3"/>
  <c r="K6" i="3"/>
  <c r="F6" i="3"/>
  <c r="E6" i="3"/>
  <c r="Q5" i="3"/>
  <c r="P5" i="3"/>
  <c r="O5" i="3"/>
  <c r="L5" i="3"/>
  <c r="K5" i="3"/>
  <c r="F5" i="3"/>
  <c r="E5" i="3"/>
  <c r="Q4" i="3"/>
  <c r="P4" i="3"/>
  <c r="O4" i="3"/>
  <c r="L4" i="3"/>
  <c r="K4" i="3"/>
  <c r="F4" i="3"/>
  <c r="E4" i="3"/>
  <c r="Q3" i="3"/>
  <c r="P3" i="3"/>
  <c r="O3" i="3"/>
  <c r="L3" i="3"/>
  <c r="K3" i="3"/>
  <c r="C3" i="3"/>
  <c r="D3" i="3"/>
  <c r="F3" i="3"/>
  <c r="E3" i="3"/>
  <c r="P91" i="4"/>
  <c r="Q91" i="4"/>
  <c r="P92" i="4"/>
  <c r="Q92" i="4"/>
  <c r="P93" i="4"/>
  <c r="Q93" i="4"/>
  <c r="Q90" i="4"/>
  <c r="P90" i="4"/>
  <c r="N91" i="4"/>
  <c r="O91" i="4"/>
  <c r="N92" i="4"/>
  <c r="N71" i="4"/>
  <c r="O92" i="4"/>
  <c r="O71" i="4"/>
  <c r="N93" i="4"/>
  <c r="N72" i="4"/>
  <c r="O93" i="4"/>
  <c r="O72" i="4"/>
  <c r="O90" i="4"/>
  <c r="N90" i="4"/>
  <c r="N70" i="4"/>
  <c r="O70" i="4"/>
  <c r="N69" i="4"/>
  <c r="O69" i="4"/>
  <c r="P105" i="4"/>
  <c r="Q105" i="4" s="1"/>
  <c r="P106" i="4"/>
  <c r="Q106" i="4" s="1"/>
  <c r="P107" i="4"/>
  <c r="Q107" i="4" s="1"/>
  <c r="P104" i="4"/>
  <c r="Q104" i="4" s="1"/>
  <c r="N105" i="4"/>
  <c r="O105" i="4" s="1"/>
  <c r="N106" i="4"/>
  <c r="O106" i="4" s="1"/>
  <c r="N107" i="4"/>
  <c r="O107" i="4" s="1"/>
  <c r="N104" i="4"/>
  <c r="O104" i="4" s="1"/>
  <c r="P99" i="4"/>
  <c r="Q99" i="4" s="1"/>
  <c r="P100" i="4"/>
  <c r="Q100" i="4" s="1"/>
  <c r="P101" i="4"/>
  <c r="Q101" i="4" s="1"/>
  <c r="P98" i="4"/>
  <c r="Q98" i="4" s="1"/>
  <c r="N99" i="4"/>
  <c r="O99" i="4" s="1"/>
  <c r="N100" i="4"/>
  <c r="O100" i="4" s="1"/>
  <c r="N101" i="4"/>
  <c r="O101" i="4" s="1"/>
  <c r="N98" i="4"/>
  <c r="O98" i="4"/>
  <c r="P70" i="4"/>
  <c r="Q70" i="4"/>
  <c r="P71" i="4"/>
  <c r="Q71" i="4"/>
  <c r="P72" i="4"/>
  <c r="P113" i="4" s="1"/>
  <c r="Q72" i="4"/>
  <c r="Q69" i="4"/>
  <c r="P69" i="4"/>
  <c r="L93" i="4"/>
  <c r="L72" i="4"/>
  <c r="M93" i="4"/>
  <c r="M72" i="4"/>
  <c r="L107" i="4"/>
  <c r="M107" i="4" s="1"/>
  <c r="L101" i="4"/>
  <c r="M101" i="4" s="1"/>
  <c r="L92" i="4"/>
  <c r="L71" i="4"/>
  <c r="M92" i="4"/>
  <c r="M71" i="4"/>
  <c r="L106" i="4"/>
  <c r="M106" i="4" s="1"/>
  <c r="L100" i="4"/>
  <c r="M100" i="4" s="1"/>
  <c r="L91" i="4"/>
  <c r="L70" i="4"/>
  <c r="M91" i="4"/>
  <c r="M70" i="4"/>
  <c r="L105" i="4"/>
  <c r="M105" i="4" s="1"/>
  <c r="L99" i="4"/>
  <c r="M99" i="4" s="1"/>
  <c r="M90" i="4"/>
  <c r="L90" i="4"/>
  <c r="L69" i="4"/>
  <c r="M69" i="4"/>
  <c r="L104" i="4"/>
  <c r="M104" i="4" s="1"/>
  <c r="L98" i="4"/>
  <c r="M98" i="4" s="1"/>
  <c r="K93" i="4"/>
  <c r="J93" i="4"/>
  <c r="J72" i="4"/>
  <c r="K72" i="4"/>
  <c r="K92" i="4"/>
  <c r="J92" i="4"/>
  <c r="J71" i="4"/>
  <c r="K71" i="4"/>
  <c r="K91" i="4"/>
  <c r="J91" i="4"/>
  <c r="J70" i="4"/>
  <c r="K70" i="4"/>
  <c r="K90" i="4"/>
  <c r="J90" i="4"/>
  <c r="J69" i="4"/>
  <c r="K69" i="4"/>
  <c r="I93" i="4"/>
  <c r="H93" i="4"/>
  <c r="H72" i="4"/>
  <c r="H113" i="4" s="1"/>
  <c r="I72" i="4"/>
  <c r="I92" i="4"/>
  <c r="H92" i="4"/>
  <c r="H71" i="4"/>
  <c r="I71" i="4"/>
  <c r="I91" i="4"/>
  <c r="H91" i="4"/>
  <c r="H70" i="4"/>
  <c r="H111" i="4" s="1"/>
  <c r="I70" i="4"/>
  <c r="I90" i="4"/>
  <c r="H90" i="4"/>
  <c r="H69" i="4"/>
  <c r="I69" i="4"/>
  <c r="G93" i="4"/>
  <c r="F93" i="4"/>
  <c r="F72" i="4"/>
  <c r="G72" i="4"/>
  <c r="G92" i="4"/>
  <c r="F92" i="4"/>
  <c r="F71" i="4"/>
  <c r="G71" i="4"/>
  <c r="G91" i="4"/>
  <c r="F91" i="4"/>
  <c r="F70" i="4"/>
  <c r="G70" i="4"/>
  <c r="G90" i="4"/>
  <c r="F90" i="4"/>
  <c r="F69" i="4"/>
  <c r="G69" i="4"/>
  <c r="E93" i="4"/>
  <c r="D93" i="4"/>
  <c r="D72" i="4"/>
  <c r="E72" i="4"/>
  <c r="E92" i="4"/>
  <c r="D92" i="4"/>
  <c r="D71" i="4"/>
  <c r="E71" i="4"/>
  <c r="E91" i="4"/>
  <c r="D91" i="4"/>
  <c r="D70" i="4"/>
  <c r="D111" i="4"/>
  <c r="E70" i="4"/>
  <c r="E90" i="4"/>
  <c r="D90" i="4"/>
  <c r="D69" i="4"/>
  <c r="E69" i="4"/>
  <c r="C93" i="4"/>
  <c r="B93" i="4"/>
  <c r="B72" i="4"/>
  <c r="C72" i="4"/>
  <c r="C92" i="4"/>
  <c r="B92" i="4"/>
  <c r="B71" i="4"/>
  <c r="C71" i="4"/>
  <c r="C91" i="4"/>
  <c r="B91" i="4"/>
  <c r="B70" i="4"/>
  <c r="C70" i="4"/>
  <c r="C90" i="4"/>
  <c r="B90" i="4"/>
  <c r="B69" i="4"/>
  <c r="C69" i="4"/>
  <c r="J107" i="4"/>
  <c r="K107" i="4"/>
  <c r="J106" i="4"/>
  <c r="K106" i="4" s="1"/>
  <c r="J105" i="4"/>
  <c r="K105" i="4" s="1"/>
  <c r="J104" i="4"/>
  <c r="K104" i="4" s="1"/>
  <c r="H107" i="4"/>
  <c r="I107" i="4" s="1"/>
  <c r="H106" i="4"/>
  <c r="I106" i="4" s="1"/>
  <c r="H105" i="4"/>
  <c r="I105" i="4" s="1"/>
  <c r="H104" i="4"/>
  <c r="I104" i="4" s="1"/>
  <c r="F107" i="4"/>
  <c r="G107" i="4"/>
  <c r="F106" i="4"/>
  <c r="G106" i="4" s="1"/>
  <c r="F105" i="4"/>
  <c r="G105" i="4" s="1"/>
  <c r="F104" i="4"/>
  <c r="G104" i="4" s="1"/>
  <c r="D107" i="4"/>
  <c r="E107" i="4" s="1"/>
  <c r="D106" i="4"/>
  <c r="E106" i="4" s="1"/>
  <c r="D105" i="4"/>
  <c r="E105" i="4"/>
  <c r="D104" i="4"/>
  <c r="E104" i="4" s="1"/>
  <c r="B105" i="4"/>
  <c r="C105" i="4" s="1"/>
  <c r="B106" i="4"/>
  <c r="C106" i="4" s="1"/>
  <c r="B107" i="4"/>
  <c r="C107" i="4" s="1"/>
  <c r="B104" i="4"/>
  <c r="C104" i="4" s="1"/>
  <c r="J101" i="4"/>
  <c r="K101" i="4" s="1"/>
  <c r="J100" i="4"/>
  <c r="K100" i="4" s="1"/>
  <c r="J99" i="4"/>
  <c r="K99" i="4" s="1"/>
  <c r="J98" i="4"/>
  <c r="K98" i="4" s="1"/>
  <c r="H101" i="4"/>
  <c r="I101" i="4" s="1"/>
  <c r="H100" i="4"/>
  <c r="I100" i="4" s="1"/>
  <c r="H99" i="4"/>
  <c r="I99" i="4" s="1"/>
  <c r="H98" i="4"/>
  <c r="I98" i="4" s="1"/>
  <c r="F101" i="4"/>
  <c r="G101" i="4" s="1"/>
  <c r="F100" i="4"/>
  <c r="G100" i="4" s="1"/>
  <c r="F99" i="4"/>
  <c r="G99" i="4"/>
  <c r="F98" i="4"/>
  <c r="G98" i="4" s="1"/>
  <c r="D101" i="4"/>
  <c r="E101" i="4" s="1"/>
  <c r="D100" i="4"/>
  <c r="E100" i="4" s="1"/>
  <c r="D99" i="4"/>
  <c r="E99" i="4" s="1"/>
  <c r="D98" i="4"/>
  <c r="E98" i="4" s="1"/>
  <c r="B99" i="4"/>
  <c r="C99" i="4"/>
  <c r="B100" i="4"/>
  <c r="C100" i="4" s="1"/>
  <c r="B101" i="4"/>
  <c r="C101" i="4" s="1"/>
  <c r="B98" i="4"/>
  <c r="C98" i="4" s="1"/>
  <c r="B18" i="2"/>
  <c r="B12" i="2"/>
  <c r="B6" i="2"/>
  <c r="B19" i="2"/>
  <c r="B13" i="2"/>
  <c r="B7" i="2"/>
  <c r="B17" i="2"/>
  <c r="B11" i="2"/>
  <c r="B5" i="2"/>
  <c r="B16" i="2"/>
  <c r="B10" i="2"/>
  <c r="B4" i="2"/>
  <c r="C18" i="2"/>
  <c r="C12" i="2"/>
  <c r="C6" i="2"/>
  <c r="C19" i="2"/>
  <c r="C13" i="2"/>
  <c r="C7" i="2"/>
  <c r="C17" i="2"/>
  <c r="C11" i="2"/>
  <c r="C5" i="2"/>
  <c r="C16" i="2"/>
  <c r="C10" i="2"/>
  <c r="C4" i="2"/>
  <c r="D18" i="2"/>
  <c r="D12" i="2"/>
  <c r="D6" i="2"/>
  <c r="D19" i="2"/>
  <c r="D13" i="2"/>
  <c r="D7" i="2"/>
  <c r="D17" i="2"/>
  <c r="D11" i="2"/>
  <c r="D5" i="2"/>
  <c r="D16" i="2"/>
  <c r="D10" i="2"/>
  <c r="D4" i="2"/>
  <c r="E18" i="2"/>
  <c r="E12" i="2"/>
  <c r="E6" i="2"/>
  <c r="E19" i="2"/>
  <c r="E13" i="2"/>
  <c r="E7" i="2"/>
  <c r="E17" i="2"/>
  <c r="E11" i="2"/>
  <c r="E5" i="2"/>
  <c r="E16" i="2"/>
  <c r="E10" i="2"/>
  <c r="E4" i="2"/>
  <c r="F19" i="2"/>
  <c r="F13" i="2"/>
  <c r="F7" i="2"/>
  <c r="F18" i="2"/>
  <c r="F12" i="2"/>
  <c r="F6" i="2"/>
  <c r="F17" i="2"/>
  <c r="F11" i="2"/>
  <c r="F5" i="2"/>
  <c r="F16" i="2"/>
  <c r="F10" i="2"/>
  <c r="F4" i="2"/>
  <c r="L111" i="4" l="1"/>
  <c r="B110" i="4"/>
  <c r="N111" i="4"/>
  <c r="N112" i="4"/>
  <c r="O112" i="4" s="1"/>
  <c r="C110" i="4"/>
  <c r="D112" i="4"/>
  <c r="E112" i="4" s="1"/>
  <c r="Q113" i="4"/>
  <c r="F111" i="4"/>
  <c r="G111" i="4" s="1"/>
  <c r="F113" i="4"/>
  <c r="G113" i="4" s="1"/>
  <c r="J112" i="4"/>
  <c r="K112" i="4" s="1"/>
  <c r="E111" i="4"/>
  <c r="J111" i="4"/>
  <c r="K111" i="4" s="1"/>
  <c r="L112" i="4"/>
  <c r="M112" i="4" s="1"/>
  <c r="P111" i="4"/>
  <c r="Q111" i="4" s="1"/>
  <c r="I111" i="4"/>
  <c r="B112" i="4"/>
  <c r="C112" i="4" s="1"/>
  <c r="F112" i="4"/>
  <c r="G112" i="4" s="1"/>
  <c r="H110" i="4"/>
  <c r="I110" i="4" s="1"/>
  <c r="P112" i="4"/>
  <c r="Q112" i="4" s="1"/>
  <c r="N113" i="4"/>
  <c r="O113" i="4" s="1"/>
  <c r="O111" i="4"/>
  <c r="B111" i="4"/>
  <c r="C111" i="4" s="1"/>
  <c r="B113" i="4"/>
  <c r="C113" i="4" s="1"/>
  <c r="H112" i="4"/>
  <c r="I112" i="4" s="1"/>
  <c r="J110" i="4"/>
  <c r="K110" i="4" s="1"/>
  <c r="P110" i="4"/>
  <c r="Q110" i="4" s="1"/>
  <c r="D113" i="4"/>
  <c r="E113" i="4" s="1"/>
  <c r="M111" i="4"/>
  <c r="L113" i="4"/>
  <c r="M113" i="4" s="1"/>
  <c r="D110" i="4"/>
  <c r="E110" i="4" s="1"/>
  <c r="F110" i="4"/>
  <c r="G110" i="4" s="1"/>
  <c r="N110" i="4"/>
  <c r="O110" i="4" s="1"/>
  <c r="J113" i="4"/>
  <c r="K113" i="4" s="1"/>
  <c r="L110" i="4"/>
  <c r="M110" i="4" s="1"/>
  <c r="U21" i="4"/>
  <c r="R22" i="4"/>
  <c r="S21" i="4"/>
  <c r="T22" i="4"/>
  <c r="S22" i="4"/>
  <c r="V33" i="4"/>
  <c r="I113" i="4"/>
  <c r="U37" i="4" l="1"/>
  <c r="U36" i="4"/>
  <c r="U35" i="4"/>
</calcChain>
</file>

<file path=xl/sharedStrings.xml><?xml version="1.0" encoding="utf-8"?>
<sst xmlns="http://schemas.openxmlformats.org/spreadsheetml/2006/main" count="293" uniqueCount="72">
  <si>
    <t>United States</t>
  </si>
  <si>
    <t>Texas</t>
  </si>
  <si>
    <t>Travis County</t>
  </si>
  <si>
    <t>Travis County by Race</t>
  </si>
  <si>
    <t>Children Under 18 Uninsured</t>
  </si>
  <si>
    <t>Source: ACS 1-Year Estimates, S2701</t>
  </si>
  <si>
    <t>Under 6</t>
  </si>
  <si>
    <t>6 to 17</t>
  </si>
  <si>
    <t>Under 18 Total</t>
  </si>
  <si>
    <t>B27001B</t>
  </si>
  <si>
    <t>Children Uninsured, ACS 1-Year</t>
  </si>
  <si>
    <t>Asian Alone</t>
  </si>
  <si>
    <t>B27001D</t>
  </si>
  <si>
    <t>Hispanic or Latino</t>
  </si>
  <si>
    <t>B27001I</t>
  </si>
  <si>
    <t>White Alone, not Hispanic or Latino</t>
  </si>
  <si>
    <t>B27001H</t>
  </si>
  <si>
    <t>Black or African American Alone</t>
  </si>
  <si>
    <t>Percent</t>
  </si>
  <si>
    <t>Margin of Error</t>
  </si>
  <si>
    <t>Lower</t>
  </si>
  <si>
    <t>Upper</t>
  </si>
  <si>
    <t>Number</t>
  </si>
  <si>
    <t>Austin MSA</t>
  </si>
  <si>
    <t>City of Austin</t>
  </si>
  <si>
    <t>Austin</t>
  </si>
  <si>
    <t>MOE</t>
  </si>
  <si>
    <t>Travis County by Race- Total</t>
  </si>
  <si>
    <t>Travis County by Race- Uninsured</t>
  </si>
  <si>
    <t>B27001D: HEALTH INSURANCE COVERAGE STATUS BY AGE (ASIAN ALONE) - Universe: Asian alone civilian noninstitutionalized population</t>
  </si>
  <si>
    <t>2017 American Community Survey 1-Year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</si>
  <si>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</si>
  <si>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</si>
  <si>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b/>
        <sz val="10"/>
        <color indexed="8"/>
        <rFont val="SansSerif"/>
      </rPr>
      <t>Tell us what you think.</t>
    </r>
    <r>
      <rPr>
        <sz val="10"/>
        <color indexed="8"/>
        <rFont val="SansSerif"/>
      </rPr>
      <t xml:space="preserve"> Provide feedback to help make American Community Survey data more useful for you.
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r>
  </si>
  <si>
    <t>Asian</t>
  </si>
  <si>
    <t>Black</t>
  </si>
  <si>
    <t>Hispanic</t>
  </si>
  <si>
    <t>White</t>
  </si>
  <si>
    <t>Travis County, Texas</t>
  </si>
  <si>
    <t>Estimate</t>
  </si>
  <si>
    <t>Total:</t>
  </si>
  <si>
    <t>Number Uninsured &lt; 65</t>
  </si>
  <si>
    <t xml:space="preserve">  Under 6 years:</t>
  </si>
  <si>
    <t>Total Population</t>
  </si>
  <si>
    <t xml:space="preserve">    With health insurance coverage</t>
  </si>
  <si>
    <t>% Uninsured</t>
  </si>
  <si>
    <t xml:space="preserve">    No health insurance coverage</t>
  </si>
  <si>
    <t>MOE Uninsured</t>
  </si>
  <si>
    <t xml:space="preserve">  6 to 17 years:</t>
  </si>
  <si>
    <t>MOE Population</t>
  </si>
  <si>
    <t>MOE %</t>
  </si>
  <si>
    <t xml:space="preserve">  18 to 24 years:</t>
  </si>
  <si>
    <t>Increase in Asian uninsured population falls within overlapping margins of error. Please see below for significance at the 90-, 95-, and 99-percent confidence levels.</t>
  </si>
  <si>
    <t xml:space="preserve">  25 to 34 years:</t>
  </si>
  <si>
    <t xml:space="preserve">  35 to 44 years:</t>
  </si>
  <si>
    <t>Determining Statistical Significance</t>
  </si>
  <si>
    <t>when comparing two estimates and testing for significance</t>
  </si>
  <si>
    <r>
      <t>Estimate</t>
    </r>
    <r>
      <rPr>
        <vertAlign val="subscript"/>
        <sz val="12"/>
        <color indexed="8"/>
        <rFont val="Tw Cen MT"/>
        <family val="2"/>
      </rPr>
      <t>#1</t>
    </r>
  </si>
  <si>
    <r>
      <t>MOE</t>
    </r>
    <r>
      <rPr>
        <vertAlign val="subscript"/>
        <sz val="12"/>
        <color indexed="8"/>
        <rFont val="Tw Cen MT"/>
        <family val="2"/>
      </rPr>
      <t>#1</t>
    </r>
  </si>
  <si>
    <r>
      <t>SE</t>
    </r>
    <r>
      <rPr>
        <vertAlign val="subscript"/>
        <sz val="12"/>
        <color indexed="8"/>
        <rFont val="Tw Cen MT"/>
        <family val="2"/>
      </rPr>
      <t>#1</t>
    </r>
  </si>
  <si>
    <r>
      <t>Difference (E</t>
    </r>
    <r>
      <rPr>
        <vertAlign val="subscript"/>
        <sz val="12"/>
        <color indexed="8"/>
        <rFont val="Tw Cen MT"/>
        <family val="2"/>
      </rPr>
      <t>1</t>
    </r>
    <r>
      <rPr>
        <sz val="12"/>
        <color indexed="8"/>
        <rFont val="Tw Cen MT"/>
        <family val="2"/>
      </rPr>
      <t>-E</t>
    </r>
    <r>
      <rPr>
        <vertAlign val="subscript"/>
        <sz val="12"/>
        <color indexed="8"/>
        <rFont val="Tw Cen MT"/>
        <family val="2"/>
      </rPr>
      <t>2</t>
    </r>
    <r>
      <rPr>
        <sz val="12"/>
        <color indexed="8"/>
        <rFont val="Tw Cen MT"/>
        <family val="2"/>
      </rPr>
      <t>)</t>
    </r>
  </si>
  <si>
    <t xml:space="preserve">  45 to 54 years:</t>
  </si>
  <si>
    <r>
      <t>Estimate</t>
    </r>
    <r>
      <rPr>
        <vertAlign val="subscript"/>
        <sz val="12"/>
        <color indexed="8"/>
        <rFont val="Tw Cen MT"/>
        <family val="2"/>
      </rPr>
      <t>#2</t>
    </r>
  </si>
  <si>
    <r>
      <t>MOE</t>
    </r>
    <r>
      <rPr>
        <vertAlign val="subscript"/>
        <sz val="12"/>
        <color indexed="8"/>
        <rFont val="Tw Cen MT"/>
        <family val="2"/>
      </rPr>
      <t>#2</t>
    </r>
  </si>
  <si>
    <r>
      <t>SE</t>
    </r>
    <r>
      <rPr>
        <vertAlign val="subscript"/>
        <sz val="12"/>
        <color indexed="8"/>
        <rFont val="Tw Cen MT"/>
        <family val="2"/>
      </rPr>
      <t>#2</t>
    </r>
  </si>
  <si>
    <t>Test Value</t>
  </si>
  <si>
    <t xml:space="preserve">  55 to 64 years:</t>
  </si>
  <si>
    <t>90-percent confidence level:</t>
  </si>
  <si>
    <t>95-percent confidence level:</t>
  </si>
  <si>
    <t xml:space="preserve">  65 to 74 years:</t>
  </si>
  <si>
    <t>99-percent confidence level:</t>
  </si>
  <si>
    <t xml:space="preserve">  75 years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</si>
</sst>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00"/>
  </numFmts>
  <fonts count="16"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color indexed="8"/>
      <name val="SansSerif"/>
    </font>
    <font>
      <b/>
      <sz val="10"/>
      <color indexed="8"/>
      <name val="SansSerif"/>
    </font>
    <font>
      <b/>
      <sz val="10"/>
      <name val="Arial"/>
      <family val="2"/>
    </font>
    <font>
      <b/>
      <i/>
      <sz val="12"/>
      <color theme="0"/>
      <name val="Calibri"/>
      <family val="2"/>
      <scheme val="minor"/>
    </font>
    <font>
      <sz val="10"/>
      <color theme="1"/>
      <name val="Calibri"/>
      <family val="2"/>
      <scheme val="minor"/>
    </font>
    <font>
      <vertAlign val="subscript"/>
      <sz val="12"/>
      <color indexed="8"/>
      <name val="Tw Cen MT"/>
      <family val="2"/>
    </font>
    <font>
      <sz val="12"/>
      <color indexed="8"/>
      <name val="Tw Cen MT"/>
      <family val="2"/>
    </font>
    <font>
      <i/>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C000"/>
        <bgColor indexed="64"/>
      </patternFill>
    </fill>
  </fills>
  <borders count="6">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s>
  <cellStyleXfs count="9">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cellStyleXfs>
  <cellXfs count="54">
    <xf numFmtId="0" fontId="0" fillId="0" borderId="0" xfId="0"/>
    <xf numFmtId="0" fontId="3" fillId="0" borderId="0" xfId="0" applyFont="1"/>
    <xf numFmtId="164" fontId="2" fillId="0" borderId="0" xfId="1" applyNumberFormat="1" applyFont="1"/>
    <xf numFmtId="164" fontId="0" fillId="0" borderId="0" xfId="1" applyNumberFormat="1" applyFont="1"/>
    <xf numFmtId="9" fontId="0" fillId="0" borderId="0" xfId="1" applyFont="1"/>
    <xf numFmtId="0" fontId="7" fillId="0" borderId="0" xfId="0" applyFont="1"/>
    <xf numFmtId="9" fontId="7" fillId="0" borderId="0" xfId="0" applyNumberFormat="1" applyFont="1"/>
    <xf numFmtId="9" fontId="7" fillId="0" borderId="0" xfId="1" applyFont="1"/>
    <xf numFmtId="164" fontId="7" fillId="0" borderId="0" xfId="0" applyNumberFormat="1" applyFont="1"/>
    <xf numFmtId="10" fontId="7" fillId="0" borderId="0" xfId="0" applyNumberFormat="1" applyFont="1"/>
    <xf numFmtId="0" fontId="2" fillId="0" borderId="0" xfId="1" applyNumberFormat="1" applyFont="1"/>
    <xf numFmtId="165" fontId="2" fillId="0" borderId="0" xfId="8" applyNumberFormat="1" applyFont="1"/>
    <xf numFmtId="165" fontId="0" fillId="0" borderId="0" xfId="8" applyNumberFormat="1" applyFont="1"/>
    <xf numFmtId="9" fontId="2" fillId="0" borderId="0" xfId="1" applyFont="1"/>
    <xf numFmtId="164" fontId="0" fillId="0" borderId="0" xfId="0" applyNumberFormat="1"/>
    <xf numFmtId="165" fontId="7" fillId="0" borderId="0" xfId="8" applyNumberFormat="1" applyFont="1"/>
    <xf numFmtId="10" fontId="0" fillId="0" borderId="0" xfId="0" applyNumberFormat="1"/>
    <xf numFmtId="9" fontId="0" fillId="0" borderId="0" xfId="0" applyNumberFormat="1"/>
    <xf numFmtId="0" fontId="4" fillId="0" borderId="0" xfId="0" applyFont="1" applyAlignment="1">
      <alignment horizontal="center"/>
    </xf>
    <xf numFmtId="1" fontId="0" fillId="0" borderId="0" xfId="0" applyNumberFormat="1"/>
    <xf numFmtId="3" fontId="0" fillId="0" borderId="0" xfId="8" applyNumberFormat="1" applyFont="1"/>
    <xf numFmtId="3" fontId="0" fillId="0" borderId="0" xfId="0" applyNumberFormat="1"/>
    <xf numFmtId="9" fontId="0" fillId="0" borderId="0" xfId="1" applyNumberFormat="1" applyFont="1"/>
    <xf numFmtId="0" fontId="8" fillId="2" borderId="0" xfId="0" applyFont="1" applyFill="1" applyAlignment="1">
      <alignment horizontal="left" vertical="top" wrapText="1"/>
    </xf>
    <xf numFmtId="0" fontId="8" fillId="2"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3" xfId="0" applyFont="1" applyFill="1" applyBorder="1" applyAlignment="1">
      <alignment horizontal="left" vertical="top" wrapText="1"/>
    </xf>
    <xf numFmtId="3" fontId="8" fillId="2" borderId="3" xfId="0" applyNumberFormat="1" applyFont="1" applyFill="1" applyBorder="1" applyAlignment="1">
      <alignment horizontal="left" vertical="top" wrapText="1"/>
    </xf>
    <xf numFmtId="9" fontId="1" fillId="0" borderId="0" xfId="1" applyFont="1"/>
    <xf numFmtId="0" fontId="2" fillId="0" borderId="0" xfId="0" applyFont="1" applyAlignment="1">
      <alignment horizontal="center"/>
    </xf>
    <xf numFmtId="0" fontId="2" fillId="0" borderId="0" xfId="0" applyFont="1"/>
    <xf numFmtId="0" fontId="2" fillId="0" borderId="0" xfId="0" applyFont="1" applyAlignment="1">
      <alignment horizontal="center" wrapText="1"/>
    </xf>
    <xf numFmtId="166" fontId="2" fillId="5" borderId="0" xfId="0" applyNumberFormat="1" applyFont="1" applyFill="1" applyAlignment="1">
      <alignment horizontal="right"/>
    </xf>
    <xf numFmtId="4" fontId="2" fillId="5" borderId="0" xfId="0" applyNumberFormat="1" applyFont="1" applyFill="1" applyAlignment="1">
      <alignment horizontal="right"/>
    </xf>
    <xf numFmtId="0" fontId="2" fillId="0" borderId="0" xfId="0" applyFont="1" applyAlignment="1">
      <alignment wrapText="1"/>
    </xf>
    <xf numFmtId="4" fontId="2" fillId="0" borderId="0" xfId="0" applyNumberFormat="1" applyFont="1" applyAlignment="1">
      <alignment horizontal="right" wrapText="1"/>
    </xf>
    <xf numFmtId="4" fontId="2" fillId="0" borderId="0" xfId="0" applyNumberFormat="1" applyFont="1"/>
    <xf numFmtId="167" fontId="2" fillId="0" borderId="0" xfId="0" applyNumberFormat="1" applyFont="1"/>
    <xf numFmtId="2" fontId="2" fillId="0" borderId="0" xfId="0" applyNumberFormat="1" applyFont="1"/>
    <xf numFmtId="0" fontId="10" fillId="0" borderId="1" xfId="0" applyFont="1" applyBorder="1" applyAlignment="1">
      <alignment horizontal="center"/>
    </xf>
    <xf numFmtId="0" fontId="10" fillId="0" borderId="1" xfId="0" applyFont="1" applyBorder="1" applyAlignment="1"/>
    <xf numFmtId="0" fontId="4" fillId="0" borderId="0" xfId="0" applyFont="1" applyAlignment="1">
      <alignment horizontal="center"/>
    </xf>
    <xf numFmtId="0" fontId="8" fillId="2" borderId="3" xfId="0" applyFont="1" applyFill="1" applyBorder="1" applyAlignment="1">
      <alignment horizontal="left" vertical="top" wrapText="1"/>
    </xf>
    <xf numFmtId="0" fontId="3" fillId="0" borderId="1" xfId="0" applyFont="1" applyBorder="1" applyAlignment="1">
      <alignment horizontal="center"/>
    </xf>
    <xf numFmtId="3" fontId="8" fillId="2" borderId="3" xfId="0" applyNumberFormat="1" applyFont="1" applyFill="1" applyBorder="1" applyAlignment="1">
      <alignment horizontal="left" vertical="top" wrapText="1"/>
    </xf>
    <xf numFmtId="0" fontId="15" fillId="0" borderId="0" xfId="0" applyFont="1" applyAlignment="1">
      <alignment horizontal="right" indent="1"/>
    </xf>
    <xf numFmtId="0" fontId="11" fillId="3" borderId="0" xfId="0" applyFont="1" applyFill="1" applyAlignment="1">
      <alignment horizontal="center"/>
    </xf>
    <xf numFmtId="0" fontId="12" fillId="4" borderId="0" xfId="0" applyFont="1" applyFill="1" applyAlignment="1">
      <alignment horizontal="center"/>
    </xf>
    <xf numFmtId="0" fontId="0" fillId="0" borderId="0" xfId="0" applyAlignment="1">
      <alignment horizontal="left" vertical="top" wrapText="1"/>
    </xf>
    <xf numFmtId="0" fontId="8" fillId="2" borderId="2" xfId="0" applyFont="1" applyFill="1" applyBorder="1" applyAlignment="1">
      <alignment horizontal="center" vertical="center" wrapText="1"/>
    </xf>
    <xf numFmtId="0" fontId="10" fillId="0" borderId="1" xfId="0" applyFont="1" applyBorder="1" applyAlignment="1">
      <alignment horizontal="center"/>
    </xf>
    <xf numFmtId="0" fontId="8" fillId="2" borderId="0" xfId="0" applyFont="1" applyFill="1" applyAlignment="1">
      <alignment horizontal="left" vertical="top" wrapText="1"/>
    </xf>
    <xf numFmtId="0" fontId="9" fillId="2" borderId="1" xfId="0" applyFont="1" applyFill="1" applyBorder="1" applyAlignment="1">
      <alignment horizontal="center" wrapText="1"/>
    </xf>
  </cellXfs>
  <cellStyles count="9">
    <cellStyle name="Comma" xfId="8" builtinId="3"/>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Percent" xfId="1" builtinId="5"/>
  </cellStyles>
  <dxfs count="1">
    <dxf>
      <font>
        <b/>
        <i val="0"/>
        <color rgb="FFFF0000"/>
      </font>
      <fill>
        <patternFill patternType="none">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a:t>
            </a:r>
            <a:r>
              <a:rPr lang="en-US" b="0" baseline="0"/>
              <a:t> of</a:t>
            </a:r>
            <a:r>
              <a:rPr lang="en-US" b="0"/>
              <a:t> Children Under 18 with No Health</a:t>
            </a:r>
            <a:r>
              <a:rPr lang="en-US" b="0" baseline="0"/>
              <a:t> Insurance</a:t>
            </a:r>
            <a:endParaRPr lang="en-US" b="0"/>
          </a:p>
        </c:rich>
      </c:tx>
      <c:overlay val="0"/>
    </c:title>
    <c:autoTitleDeleted val="0"/>
    <c:plotArea>
      <c:layout/>
      <c:lineChart>
        <c:grouping val="standard"/>
        <c:varyColors val="0"/>
        <c:ser>
          <c:idx val="0"/>
          <c:order val="0"/>
          <c:tx>
            <c:strRef>
              <c:f>Total!$A$3</c:f>
              <c:strCache>
                <c:ptCount val="1"/>
                <c:pt idx="0">
                  <c:v>United States</c:v>
                </c:pt>
              </c:strCache>
            </c:strRef>
          </c:tx>
          <c:spPr>
            <a:ln>
              <a:solidFill>
                <a:schemeClr val="accent4"/>
              </a:solidFill>
            </a:ln>
          </c:spPr>
          <c:marker>
            <c:symbol val="none"/>
          </c:marker>
          <c:cat>
            <c:numRef>
              <c:f>Total!$I$2:$M$2</c:f>
              <c:numCache>
                <c:formatCode>General</c:formatCode>
                <c:ptCount val="5"/>
                <c:pt idx="0">
                  <c:v>2015</c:v>
                </c:pt>
                <c:pt idx="1">
                  <c:v>2016</c:v>
                </c:pt>
                <c:pt idx="2">
                  <c:v>2017</c:v>
                </c:pt>
                <c:pt idx="3">
                  <c:v>2018</c:v>
                </c:pt>
                <c:pt idx="4">
                  <c:v>2019</c:v>
                </c:pt>
              </c:numCache>
            </c:numRef>
          </c:cat>
          <c:val>
            <c:numRef>
              <c:f>Total!$I$3:$M$3</c:f>
              <c:numCache>
                <c:formatCode>0.00%</c:formatCode>
                <c:ptCount val="5"/>
                <c:pt idx="0" formatCode="0.0%">
                  <c:v>4.8000000000000001E-2</c:v>
                </c:pt>
                <c:pt idx="1">
                  <c:v>4.4999999999999998E-2</c:v>
                </c:pt>
                <c:pt idx="2" formatCode="0.0%">
                  <c:v>5.026953202269132E-2</c:v>
                </c:pt>
                <c:pt idx="3" formatCode="0.0%">
                  <c:v>5.2114117319442987E-2</c:v>
                </c:pt>
                <c:pt idx="4">
                  <c:v>5.6562088754720852E-2</c:v>
                </c:pt>
              </c:numCache>
            </c:numRef>
          </c:val>
          <c:smooth val="0"/>
          <c:extLst>
            <c:ext xmlns:c16="http://schemas.microsoft.com/office/drawing/2014/chart" uri="{C3380CC4-5D6E-409C-BE32-E72D297353CC}">
              <c16:uniqueId val="{00000000-830E-4005-A29C-8FADE04BA830}"/>
            </c:ext>
          </c:extLst>
        </c:ser>
        <c:ser>
          <c:idx val="1"/>
          <c:order val="1"/>
          <c:tx>
            <c:strRef>
              <c:f>Total!$A$4</c:f>
              <c:strCache>
                <c:ptCount val="1"/>
                <c:pt idx="0">
                  <c:v>Texas</c:v>
                </c:pt>
              </c:strCache>
            </c:strRef>
          </c:tx>
          <c:spPr>
            <a:ln>
              <a:solidFill>
                <a:schemeClr val="accent3"/>
              </a:solidFill>
            </a:ln>
          </c:spPr>
          <c:marker>
            <c:symbol val="none"/>
          </c:marker>
          <c:cat>
            <c:numRef>
              <c:f>Total!$I$2:$M$2</c:f>
              <c:numCache>
                <c:formatCode>General</c:formatCode>
                <c:ptCount val="5"/>
                <c:pt idx="0">
                  <c:v>2015</c:v>
                </c:pt>
                <c:pt idx="1">
                  <c:v>2016</c:v>
                </c:pt>
                <c:pt idx="2">
                  <c:v>2017</c:v>
                </c:pt>
                <c:pt idx="3">
                  <c:v>2018</c:v>
                </c:pt>
                <c:pt idx="4">
                  <c:v>2019</c:v>
                </c:pt>
              </c:numCache>
            </c:numRef>
          </c:cat>
          <c:val>
            <c:numRef>
              <c:f>Total!$I$4:$M$4</c:f>
              <c:numCache>
                <c:formatCode>0.00%</c:formatCode>
                <c:ptCount val="5"/>
                <c:pt idx="0">
                  <c:v>9.5000000000000001E-2</c:v>
                </c:pt>
                <c:pt idx="1">
                  <c:v>9.1999999999999998E-2</c:v>
                </c:pt>
                <c:pt idx="2" formatCode="0.0%">
                  <c:v>0.10725862568581102</c:v>
                </c:pt>
                <c:pt idx="3">
                  <c:v>0.11153418057978237</c:v>
                </c:pt>
                <c:pt idx="4">
                  <c:v>0.12747262824086508</c:v>
                </c:pt>
              </c:numCache>
            </c:numRef>
          </c:val>
          <c:smooth val="0"/>
          <c:extLst>
            <c:ext xmlns:c16="http://schemas.microsoft.com/office/drawing/2014/chart" uri="{C3380CC4-5D6E-409C-BE32-E72D297353CC}">
              <c16:uniqueId val="{00000001-830E-4005-A29C-8FADE04BA830}"/>
            </c:ext>
          </c:extLst>
        </c:ser>
        <c:ser>
          <c:idx val="3"/>
          <c:order val="2"/>
          <c:tx>
            <c:strRef>
              <c:f>Total!$A$5</c:f>
              <c:strCache>
                <c:ptCount val="1"/>
                <c:pt idx="0">
                  <c:v>Austin MSA</c:v>
                </c:pt>
              </c:strCache>
            </c:strRef>
          </c:tx>
          <c:spPr>
            <a:ln>
              <a:solidFill>
                <a:schemeClr val="accent6"/>
              </a:solidFill>
            </a:ln>
          </c:spPr>
          <c:marker>
            <c:symbol val="none"/>
          </c:marker>
          <c:cat>
            <c:numRef>
              <c:f>Total!$I$2:$M$2</c:f>
              <c:numCache>
                <c:formatCode>General</c:formatCode>
                <c:ptCount val="5"/>
                <c:pt idx="0">
                  <c:v>2015</c:v>
                </c:pt>
                <c:pt idx="1">
                  <c:v>2016</c:v>
                </c:pt>
                <c:pt idx="2">
                  <c:v>2017</c:v>
                </c:pt>
                <c:pt idx="3">
                  <c:v>2018</c:v>
                </c:pt>
                <c:pt idx="4">
                  <c:v>2019</c:v>
                </c:pt>
              </c:numCache>
            </c:numRef>
          </c:cat>
          <c:val>
            <c:numRef>
              <c:f>Total!$I$5:$M$5</c:f>
              <c:numCache>
                <c:formatCode>0.00%</c:formatCode>
                <c:ptCount val="5"/>
                <c:pt idx="0">
                  <c:v>7.0000000000000007E-2</c:v>
                </c:pt>
                <c:pt idx="1">
                  <c:v>7.4999999999999997E-2</c:v>
                </c:pt>
                <c:pt idx="2" formatCode="0.0%">
                  <c:v>7.3655070978263557E-2</c:v>
                </c:pt>
                <c:pt idx="3">
                  <c:v>7.9027037518386231E-2</c:v>
                </c:pt>
                <c:pt idx="4">
                  <c:v>0.10955002847921018</c:v>
                </c:pt>
              </c:numCache>
            </c:numRef>
          </c:val>
          <c:smooth val="0"/>
          <c:extLst>
            <c:ext xmlns:c16="http://schemas.microsoft.com/office/drawing/2014/chart" uri="{C3380CC4-5D6E-409C-BE32-E72D297353CC}">
              <c16:uniqueId val="{00000002-830E-4005-A29C-8FADE04BA830}"/>
            </c:ext>
          </c:extLst>
        </c:ser>
        <c:ser>
          <c:idx val="2"/>
          <c:order val="3"/>
          <c:tx>
            <c:strRef>
              <c:f>Total!$A$6</c:f>
              <c:strCache>
                <c:ptCount val="1"/>
                <c:pt idx="0">
                  <c:v>Travis County</c:v>
                </c:pt>
              </c:strCache>
            </c:strRef>
          </c:tx>
          <c:spPr>
            <a:ln>
              <a:solidFill>
                <a:schemeClr val="accent2"/>
              </a:solidFill>
            </a:ln>
          </c:spPr>
          <c:marker>
            <c:symbol val="none"/>
          </c:marker>
          <c:cat>
            <c:numRef>
              <c:f>Total!$I$2:$M$2</c:f>
              <c:numCache>
                <c:formatCode>General</c:formatCode>
                <c:ptCount val="5"/>
                <c:pt idx="0">
                  <c:v>2015</c:v>
                </c:pt>
                <c:pt idx="1">
                  <c:v>2016</c:v>
                </c:pt>
                <c:pt idx="2">
                  <c:v>2017</c:v>
                </c:pt>
                <c:pt idx="3">
                  <c:v>2018</c:v>
                </c:pt>
                <c:pt idx="4">
                  <c:v>2019</c:v>
                </c:pt>
              </c:numCache>
            </c:numRef>
          </c:cat>
          <c:val>
            <c:numRef>
              <c:f>Total!$I$6:$M$6</c:f>
              <c:numCache>
                <c:formatCode>0.00%</c:formatCode>
                <c:ptCount val="5"/>
                <c:pt idx="0">
                  <c:v>7.6999999999999999E-2</c:v>
                </c:pt>
                <c:pt idx="1">
                  <c:v>8.2000000000000003E-2</c:v>
                </c:pt>
                <c:pt idx="2" formatCode="0.0%">
                  <c:v>7.7080980140509653E-2</c:v>
                </c:pt>
                <c:pt idx="3">
                  <c:v>6.5947855835898017E-2</c:v>
                </c:pt>
                <c:pt idx="4">
                  <c:v>0.12153441138013595</c:v>
                </c:pt>
              </c:numCache>
            </c:numRef>
          </c:val>
          <c:smooth val="0"/>
          <c:extLst>
            <c:ext xmlns:c16="http://schemas.microsoft.com/office/drawing/2014/chart" uri="{C3380CC4-5D6E-409C-BE32-E72D297353CC}">
              <c16:uniqueId val="{00000003-830E-4005-A29C-8FADE04BA830}"/>
            </c:ext>
          </c:extLst>
        </c:ser>
        <c:ser>
          <c:idx val="4"/>
          <c:order val="4"/>
          <c:tx>
            <c:strRef>
              <c:f>Total!$A$7</c:f>
              <c:strCache>
                <c:ptCount val="1"/>
                <c:pt idx="0">
                  <c:v>Austin</c:v>
                </c:pt>
              </c:strCache>
            </c:strRef>
          </c:tx>
          <c:spPr>
            <a:ln>
              <a:solidFill>
                <a:schemeClr val="accent1"/>
              </a:solidFill>
            </a:ln>
          </c:spPr>
          <c:marker>
            <c:symbol val="none"/>
          </c:marker>
          <c:cat>
            <c:numRef>
              <c:f>Total!$I$2:$M$2</c:f>
              <c:numCache>
                <c:formatCode>General</c:formatCode>
                <c:ptCount val="5"/>
                <c:pt idx="0">
                  <c:v>2015</c:v>
                </c:pt>
                <c:pt idx="1">
                  <c:v>2016</c:v>
                </c:pt>
                <c:pt idx="2">
                  <c:v>2017</c:v>
                </c:pt>
                <c:pt idx="3">
                  <c:v>2018</c:v>
                </c:pt>
                <c:pt idx="4">
                  <c:v>2019</c:v>
                </c:pt>
              </c:numCache>
            </c:numRef>
          </c:cat>
          <c:val>
            <c:numRef>
              <c:f>Total!$I$7:$M$7</c:f>
              <c:numCache>
                <c:formatCode>0.00%</c:formatCode>
                <c:ptCount val="5"/>
                <c:pt idx="0" formatCode="0%">
                  <c:v>8.8999999999999996E-2</c:v>
                </c:pt>
                <c:pt idx="1">
                  <c:v>8.4000000000000005E-2</c:v>
                </c:pt>
                <c:pt idx="2" formatCode="0.0%">
                  <c:v>7.6188384577842855E-2</c:v>
                </c:pt>
                <c:pt idx="3" formatCode="0%">
                  <c:v>7.5875814336284944E-2</c:v>
                </c:pt>
                <c:pt idx="4">
                  <c:v>0.10617171016716585</c:v>
                </c:pt>
              </c:numCache>
            </c:numRef>
          </c:val>
          <c:smooth val="0"/>
          <c:extLst>
            <c:ext xmlns:c16="http://schemas.microsoft.com/office/drawing/2014/chart" uri="{C3380CC4-5D6E-409C-BE32-E72D297353CC}">
              <c16:uniqueId val="{00000004-830E-4005-A29C-8FADE04BA830}"/>
            </c:ext>
          </c:extLst>
        </c:ser>
        <c:dLbls>
          <c:showLegendKey val="0"/>
          <c:showVal val="0"/>
          <c:showCatName val="0"/>
          <c:showSerName val="0"/>
          <c:showPercent val="0"/>
          <c:showBubbleSize val="0"/>
        </c:dLbls>
        <c:smooth val="0"/>
        <c:axId val="234253120"/>
        <c:axId val="234251944"/>
      </c:lineChart>
      <c:catAx>
        <c:axId val="234253120"/>
        <c:scaling>
          <c:orientation val="minMax"/>
        </c:scaling>
        <c:delete val="0"/>
        <c:axPos val="b"/>
        <c:numFmt formatCode="General" sourceLinked="1"/>
        <c:majorTickMark val="out"/>
        <c:minorTickMark val="none"/>
        <c:tickLblPos val="nextTo"/>
        <c:crossAx val="234251944"/>
        <c:crosses val="autoZero"/>
        <c:auto val="1"/>
        <c:lblAlgn val="ctr"/>
        <c:lblOffset val="100"/>
        <c:noMultiLvlLbl val="0"/>
      </c:catAx>
      <c:valAx>
        <c:axId val="234251944"/>
        <c:scaling>
          <c:orientation val="minMax"/>
        </c:scaling>
        <c:delete val="0"/>
        <c:axPos val="l"/>
        <c:majorGridlines/>
        <c:numFmt formatCode="0%" sourceLinked="0"/>
        <c:majorTickMark val="out"/>
        <c:minorTickMark val="none"/>
        <c:tickLblPos val="nextTo"/>
        <c:crossAx val="234253120"/>
        <c:crosses val="autoZero"/>
        <c:crossBetween val="between"/>
      </c:valAx>
    </c:plotArea>
    <c:legend>
      <c:legendPos val="b"/>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a:t>
            </a:r>
            <a:r>
              <a:rPr lang="en-US" b="0" baseline="0"/>
              <a:t> of</a:t>
            </a:r>
            <a:r>
              <a:rPr lang="en-US" b="0"/>
              <a:t> Children under 6 Uninsured in Travis County</a:t>
            </a:r>
          </a:p>
        </c:rich>
      </c:tx>
      <c:overlay val="0"/>
    </c:title>
    <c:autoTitleDeleted val="0"/>
    <c:plotArea>
      <c:layout/>
      <c:lineChart>
        <c:grouping val="standard"/>
        <c:varyColors val="0"/>
        <c:ser>
          <c:idx val="0"/>
          <c:order val="0"/>
          <c:tx>
            <c:strRef>
              <c:f>Race!$A$4</c:f>
              <c:strCache>
                <c:ptCount val="1"/>
                <c:pt idx="0">
                  <c:v>Black or African American Alone</c:v>
                </c:pt>
              </c:strCache>
            </c:strRef>
          </c:tx>
          <c:marker>
            <c:symbol val="none"/>
          </c:marker>
          <c:cat>
            <c:numRef>
              <c:f>Race!$H$3:$L$3</c:f>
              <c:numCache>
                <c:formatCode>General</c:formatCode>
                <c:ptCount val="5"/>
                <c:pt idx="0">
                  <c:v>2015</c:v>
                </c:pt>
                <c:pt idx="1">
                  <c:v>2016</c:v>
                </c:pt>
                <c:pt idx="2">
                  <c:v>2017</c:v>
                </c:pt>
                <c:pt idx="3">
                  <c:v>2018</c:v>
                </c:pt>
                <c:pt idx="4">
                  <c:v>2019</c:v>
                </c:pt>
              </c:numCache>
            </c:numRef>
          </c:cat>
          <c:val>
            <c:numRef>
              <c:f>Race!$H$4:$L$4</c:f>
              <c:numCache>
                <c:formatCode>0%</c:formatCode>
                <c:ptCount val="5"/>
                <c:pt idx="0">
                  <c:v>0.05</c:v>
                </c:pt>
                <c:pt idx="1">
                  <c:v>0.09</c:v>
                </c:pt>
                <c:pt idx="2">
                  <c:v>0.08</c:v>
                </c:pt>
                <c:pt idx="3">
                  <c:v>0.1073439099283521</c:v>
                </c:pt>
                <c:pt idx="4">
                  <c:v>0</c:v>
                </c:pt>
              </c:numCache>
            </c:numRef>
          </c:val>
          <c:smooth val="0"/>
          <c:extLst>
            <c:ext xmlns:c16="http://schemas.microsoft.com/office/drawing/2014/chart" uri="{C3380CC4-5D6E-409C-BE32-E72D297353CC}">
              <c16:uniqueId val="{00000000-8118-449F-8153-A1B18BF6C4F7}"/>
            </c:ext>
          </c:extLst>
        </c:ser>
        <c:ser>
          <c:idx val="1"/>
          <c:order val="1"/>
          <c:tx>
            <c:strRef>
              <c:f>Race!$A$5</c:f>
              <c:strCache>
                <c:ptCount val="1"/>
                <c:pt idx="0">
                  <c:v>Asian Alone</c:v>
                </c:pt>
              </c:strCache>
            </c:strRef>
          </c:tx>
          <c:spPr>
            <a:ln>
              <a:solidFill>
                <a:schemeClr val="accent6"/>
              </a:solidFill>
            </a:ln>
          </c:spPr>
          <c:marker>
            <c:symbol val="none"/>
          </c:marker>
          <c:cat>
            <c:numRef>
              <c:f>Race!$H$3:$L$3</c:f>
              <c:numCache>
                <c:formatCode>General</c:formatCode>
                <c:ptCount val="5"/>
                <c:pt idx="0">
                  <c:v>2015</c:v>
                </c:pt>
                <c:pt idx="1">
                  <c:v>2016</c:v>
                </c:pt>
                <c:pt idx="2">
                  <c:v>2017</c:v>
                </c:pt>
                <c:pt idx="3">
                  <c:v>2018</c:v>
                </c:pt>
                <c:pt idx="4">
                  <c:v>2019</c:v>
                </c:pt>
              </c:numCache>
            </c:numRef>
          </c:cat>
          <c:val>
            <c:numRef>
              <c:f>Race!$H$5:$L$5</c:f>
              <c:numCache>
                <c:formatCode>0%</c:formatCode>
                <c:ptCount val="5"/>
                <c:pt idx="0">
                  <c:v>0.08</c:v>
                </c:pt>
                <c:pt idx="1">
                  <c:v>0.08</c:v>
                </c:pt>
                <c:pt idx="2">
                  <c:v>0.18</c:v>
                </c:pt>
                <c:pt idx="3">
                  <c:v>3.0744974379188016E-2</c:v>
                </c:pt>
                <c:pt idx="4">
                  <c:v>4.1983852364475202E-2</c:v>
                </c:pt>
              </c:numCache>
            </c:numRef>
          </c:val>
          <c:smooth val="0"/>
          <c:extLst>
            <c:ext xmlns:c16="http://schemas.microsoft.com/office/drawing/2014/chart" uri="{C3380CC4-5D6E-409C-BE32-E72D297353CC}">
              <c16:uniqueId val="{00000001-8118-449F-8153-A1B18BF6C4F7}"/>
            </c:ext>
          </c:extLst>
        </c:ser>
        <c:ser>
          <c:idx val="2"/>
          <c:order val="2"/>
          <c:tx>
            <c:strRef>
              <c:f>Race!$A$6</c:f>
              <c:strCache>
                <c:ptCount val="1"/>
                <c:pt idx="0">
                  <c:v>Hispanic or Latino</c:v>
                </c:pt>
              </c:strCache>
            </c:strRef>
          </c:tx>
          <c:spPr>
            <a:ln>
              <a:solidFill>
                <a:schemeClr val="accent2"/>
              </a:solidFill>
            </a:ln>
          </c:spPr>
          <c:marker>
            <c:symbol val="none"/>
          </c:marker>
          <c:cat>
            <c:numRef>
              <c:f>Race!$H$3:$L$3</c:f>
              <c:numCache>
                <c:formatCode>General</c:formatCode>
                <c:ptCount val="5"/>
                <c:pt idx="0">
                  <c:v>2015</c:v>
                </c:pt>
                <c:pt idx="1">
                  <c:v>2016</c:v>
                </c:pt>
                <c:pt idx="2">
                  <c:v>2017</c:v>
                </c:pt>
                <c:pt idx="3">
                  <c:v>2018</c:v>
                </c:pt>
                <c:pt idx="4">
                  <c:v>2019</c:v>
                </c:pt>
              </c:numCache>
            </c:numRef>
          </c:cat>
          <c:val>
            <c:numRef>
              <c:f>Race!$H$6:$L$6</c:f>
              <c:numCache>
                <c:formatCode>0%</c:formatCode>
                <c:ptCount val="5"/>
                <c:pt idx="0">
                  <c:v>0.09</c:v>
                </c:pt>
                <c:pt idx="1">
                  <c:v>0.09</c:v>
                </c:pt>
                <c:pt idx="2">
                  <c:v>0.09</c:v>
                </c:pt>
                <c:pt idx="3">
                  <c:v>9.8229089074176421E-2</c:v>
                </c:pt>
                <c:pt idx="4">
                  <c:v>0.12519005346019912</c:v>
                </c:pt>
              </c:numCache>
            </c:numRef>
          </c:val>
          <c:smooth val="0"/>
          <c:extLst>
            <c:ext xmlns:c16="http://schemas.microsoft.com/office/drawing/2014/chart" uri="{C3380CC4-5D6E-409C-BE32-E72D297353CC}">
              <c16:uniqueId val="{00000002-8118-449F-8153-A1B18BF6C4F7}"/>
            </c:ext>
          </c:extLst>
        </c:ser>
        <c:ser>
          <c:idx val="3"/>
          <c:order val="3"/>
          <c:tx>
            <c:strRef>
              <c:f>Race!$A$7</c:f>
              <c:strCache>
                <c:ptCount val="1"/>
                <c:pt idx="0">
                  <c:v>White Alone, not Hispanic or Latino</c:v>
                </c:pt>
              </c:strCache>
            </c:strRef>
          </c:tx>
          <c:spPr>
            <a:ln>
              <a:solidFill>
                <a:schemeClr val="accent3"/>
              </a:solidFill>
            </a:ln>
          </c:spPr>
          <c:marker>
            <c:symbol val="none"/>
          </c:marker>
          <c:cat>
            <c:numRef>
              <c:f>Race!$H$3:$L$3</c:f>
              <c:numCache>
                <c:formatCode>General</c:formatCode>
                <c:ptCount val="5"/>
                <c:pt idx="0">
                  <c:v>2015</c:v>
                </c:pt>
                <c:pt idx="1">
                  <c:v>2016</c:v>
                </c:pt>
                <c:pt idx="2">
                  <c:v>2017</c:v>
                </c:pt>
                <c:pt idx="3">
                  <c:v>2018</c:v>
                </c:pt>
                <c:pt idx="4">
                  <c:v>2019</c:v>
                </c:pt>
              </c:numCache>
            </c:numRef>
          </c:cat>
          <c:val>
            <c:numRef>
              <c:f>Race!$H$7:$L$7</c:f>
              <c:numCache>
                <c:formatCode>0%</c:formatCode>
                <c:ptCount val="5"/>
                <c:pt idx="0">
                  <c:v>0.04</c:v>
                </c:pt>
                <c:pt idx="1">
                  <c:v>0.01</c:v>
                </c:pt>
                <c:pt idx="2">
                  <c:v>0.02</c:v>
                </c:pt>
                <c:pt idx="3">
                  <c:v>3.0288374342542772E-2</c:v>
                </c:pt>
                <c:pt idx="4">
                  <c:v>7.3437517039815922E-2</c:v>
                </c:pt>
              </c:numCache>
            </c:numRef>
          </c:val>
          <c:smooth val="0"/>
          <c:extLst>
            <c:ext xmlns:c16="http://schemas.microsoft.com/office/drawing/2014/chart" uri="{C3380CC4-5D6E-409C-BE32-E72D297353CC}">
              <c16:uniqueId val="{00000003-8118-449F-8153-A1B18BF6C4F7}"/>
            </c:ext>
          </c:extLst>
        </c:ser>
        <c:dLbls>
          <c:showLegendKey val="0"/>
          <c:showVal val="0"/>
          <c:showCatName val="0"/>
          <c:showSerName val="0"/>
          <c:showPercent val="0"/>
          <c:showBubbleSize val="0"/>
        </c:dLbls>
        <c:smooth val="0"/>
        <c:axId val="285234424"/>
        <c:axId val="285233640"/>
      </c:lineChart>
      <c:catAx>
        <c:axId val="285234424"/>
        <c:scaling>
          <c:orientation val="minMax"/>
        </c:scaling>
        <c:delete val="0"/>
        <c:axPos val="b"/>
        <c:numFmt formatCode="General" sourceLinked="1"/>
        <c:majorTickMark val="out"/>
        <c:minorTickMark val="none"/>
        <c:tickLblPos val="nextTo"/>
        <c:crossAx val="285233640"/>
        <c:crosses val="autoZero"/>
        <c:auto val="1"/>
        <c:lblAlgn val="ctr"/>
        <c:lblOffset val="100"/>
        <c:noMultiLvlLbl val="0"/>
      </c:catAx>
      <c:valAx>
        <c:axId val="285233640"/>
        <c:scaling>
          <c:orientation val="minMax"/>
          <c:max val="0.3"/>
        </c:scaling>
        <c:delete val="0"/>
        <c:axPos val="l"/>
        <c:majorGridlines/>
        <c:numFmt formatCode="0%" sourceLinked="1"/>
        <c:majorTickMark val="out"/>
        <c:minorTickMark val="none"/>
        <c:tickLblPos val="nextTo"/>
        <c:crossAx val="285234424"/>
        <c:crosses val="autoZero"/>
        <c:crossBetween val="between"/>
      </c:valAx>
    </c:plotArea>
    <c:legend>
      <c:legendPos val="b"/>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a:t>
            </a:r>
            <a:r>
              <a:rPr lang="en-US" b="0" baseline="0"/>
              <a:t> of</a:t>
            </a:r>
            <a:r>
              <a:rPr lang="en-US" b="0"/>
              <a:t> Children 6 to 17 Uninsured in Travis County</a:t>
            </a:r>
          </a:p>
        </c:rich>
      </c:tx>
      <c:overlay val="0"/>
    </c:title>
    <c:autoTitleDeleted val="0"/>
    <c:plotArea>
      <c:layout/>
      <c:lineChart>
        <c:grouping val="standard"/>
        <c:varyColors val="0"/>
        <c:ser>
          <c:idx val="0"/>
          <c:order val="0"/>
          <c:tx>
            <c:strRef>
              <c:f>Race!$A$10</c:f>
              <c:strCache>
                <c:ptCount val="1"/>
                <c:pt idx="0">
                  <c:v>Black or African American Alone</c:v>
                </c:pt>
              </c:strCache>
            </c:strRef>
          </c:tx>
          <c:marker>
            <c:symbol val="none"/>
          </c:marker>
          <c:cat>
            <c:numRef>
              <c:f>Race!$H$9:$L$9</c:f>
              <c:numCache>
                <c:formatCode>General</c:formatCode>
                <c:ptCount val="5"/>
                <c:pt idx="0">
                  <c:v>2015</c:v>
                </c:pt>
                <c:pt idx="1">
                  <c:v>2016</c:v>
                </c:pt>
                <c:pt idx="2">
                  <c:v>2017</c:v>
                </c:pt>
                <c:pt idx="3">
                  <c:v>2018</c:v>
                </c:pt>
                <c:pt idx="4">
                  <c:v>2019</c:v>
                </c:pt>
              </c:numCache>
            </c:numRef>
          </c:cat>
          <c:val>
            <c:numRef>
              <c:f>Race!$H$10:$L$10</c:f>
              <c:numCache>
                <c:formatCode>0%</c:formatCode>
                <c:ptCount val="5"/>
                <c:pt idx="0">
                  <c:v>0.02</c:v>
                </c:pt>
                <c:pt idx="1">
                  <c:v>0.14000000000000001</c:v>
                </c:pt>
                <c:pt idx="2">
                  <c:v>0.01</c:v>
                </c:pt>
                <c:pt idx="3">
                  <c:v>4.3019659818864589E-2</c:v>
                </c:pt>
                <c:pt idx="4">
                  <c:v>6.7264000000000004E-2</c:v>
                </c:pt>
              </c:numCache>
            </c:numRef>
          </c:val>
          <c:smooth val="0"/>
          <c:extLst>
            <c:ext xmlns:c16="http://schemas.microsoft.com/office/drawing/2014/chart" uri="{C3380CC4-5D6E-409C-BE32-E72D297353CC}">
              <c16:uniqueId val="{00000000-C161-4945-AD63-1F5163558F73}"/>
            </c:ext>
          </c:extLst>
        </c:ser>
        <c:ser>
          <c:idx val="1"/>
          <c:order val="1"/>
          <c:tx>
            <c:strRef>
              <c:f>Race!$A$11</c:f>
              <c:strCache>
                <c:ptCount val="1"/>
                <c:pt idx="0">
                  <c:v>Asian Alone</c:v>
                </c:pt>
              </c:strCache>
            </c:strRef>
          </c:tx>
          <c:spPr>
            <a:ln>
              <a:solidFill>
                <a:schemeClr val="accent6"/>
              </a:solidFill>
            </a:ln>
          </c:spPr>
          <c:marker>
            <c:symbol val="none"/>
          </c:marker>
          <c:cat>
            <c:numRef>
              <c:f>Race!$H$9:$L$9</c:f>
              <c:numCache>
                <c:formatCode>General</c:formatCode>
                <c:ptCount val="5"/>
                <c:pt idx="0">
                  <c:v>2015</c:v>
                </c:pt>
                <c:pt idx="1">
                  <c:v>2016</c:v>
                </c:pt>
                <c:pt idx="2">
                  <c:v>2017</c:v>
                </c:pt>
                <c:pt idx="3">
                  <c:v>2018</c:v>
                </c:pt>
                <c:pt idx="4">
                  <c:v>2019</c:v>
                </c:pt>
              </c:numCache>
            </c:numRef>
          </c:cat>
          <c:val>
            <c:numRef>
              <c:f>Race!$H$11:$L$11</c:f>
              <c:numCache>
                <c:formatCode>0%</c:formatCode>
                <c:ptCount val="5"/>
                <c:pt idx="0">
                  <c:v>0.06</c:v>
                </c:pt>
                <c:pt idx="1">
                  <c:v>0.1</c:v>
                </c:pt>
                <c:pt idx="2">
                  <c:v>0.05</c:v>
                </c:pt>
                <c:pt idx="3">
                  <c:v>2.5187803800265134E-2</c:v>
                </c:pt>
                <c:pt idx="4">
                  <c:v>8.4235453315290934E-2</c:v>
                </c:pt>
              </c:numCache>
            </c:numRef>
          </c:val>
          <c:smooth val="0"/>
          <c:extLst>
            <c:ext xmlns:c16="http://schemas.microsoft.com/office/drawing/2014/chart" uri="{C3380CC4-5D6E-409C-BE32-E72D297353CC}">
              <c16:uniqueId val="{00000001-C161-4945-AD63-1F5163558F73}"/>
            </c:ext>
          </c:extLst>
        </c:ser>
        <c:ser>
          <c:idx val="2"/>
          <c:order val="2"/>
          <c:tx>
            <c:strRef>
              <c:f>Race!$A$12</c:f>
              <c:strCache>
                <c:ptCount val="1"/>
                <c:pt idx="0">
                  <c:v>Hispanic or Latino</c:v>
                </c:pt>
              </c:strCache>
            </c:strRef>
          </c:tx>
          <c:spPr>
            <a:ln>
              <a:solidFill>
                <a:schemeClr val="accent2"/>
              </a:solidFill>
            </a:ln>
          </c:spPr>
          <c:marker>
            <c:symbol val="none"/>
          </c:marker>
          <c:cat>
            <c:numRef>
              <c:f>Race!$H$9:$L$9</c:f>
              <c:numCache>
                <c:formatCode>General</c:formatCode>
                <c:ptCount val="5"/>
                <c:pt idx="0">
                  <c:v>2015</c:v>
                </c:pt>
                <c:pt idx="1">
                  <c:v>2016</c:v>
                </c:pt>
                <c:pt idx="2">
                  <c:v>2017</c:v>
                </c:pt>
                <c:pt idx="3">
                  <c:v>2018</c:v>
                </c:pt>
                <c:pt idx="4">
                  <c:v>2019</c:v>
                </c:pt>
              </c:numCache>
            </c:numRef>
          </c:cat>
          <c:val>
            <c:numRef>
              <c:f>Race!$H$12:$L$12</c:f>
              <c:numCache>
                <c:formatCode>0%</c:formatCode>
                <c:ptCount val="5"/>
                <c:pt idx="0">
                  <c:v>0.13</c:v>
                </c:pt>
                <c:pt idx="1">
                  <c:v>0.15</c:v>
                </c:pt>
                <c:pt idx="2">
                  <c:v>0.14000000000000001</c:v>
                </c:pt>
                <c:pt idx="3">
                  <c:v>0.10990187529663682</c:v>
                </c:pt>
                <c:pt idx="4">
                  <c:v>0.23984787142681879</c:v>
                </c:pt>
              </c:numCache>
            </c:numRef>
          </c:val>
          <c:smooth val="0"/>
          <c:extLst>
            <c:ext xmlns:c16="http://schemas.microsoft.com/office/drawing/2014/chart" uri="{C3380CC4-5D6E-409C-BE32-E72D297353CC}">
              <c16:uniqueId val="{00000002-C161-4945-AD63-1F5163558F73}"/>
            </c:ext>
          </c:extLst>
        </c:ser>
        <c:ser>
          <c:idx val="3"/>
          <c:order val="3"/>
          <c:tx>
            <c:strRef>
              <c:f>Race!$A$13</c:f>
              <c:strCache>
                <c:ptCount val="1"/>
                <c:pt idx="0">
                  <c:v>White Alone, not Hispanic or Latino</c:v>
                </c:pt>
              </c:strCache>
            </c:strRef>
          </c:tx>
          <c:spPr>
            <a:ln>
              <a:solidFill>
                <a:schemeClr val="accent3"/>
              </a:solidFill>
            </a:ln>
          </c:spPr>
          <c:marker>
            <c:symbol val="none"/>
          </c:marker>
          <c:cat>
            <c:numRef>
              <c:f>Race!$H$9:$L$9</c:f>
              <c:numCache>
                <c:formatCode>General</c:formatCode>
                <c:ptCount val="5"/>
                <c:pt idx="0">
                  <c:v>2015</c:v>
                </c:pt>
                <c:pt idx="1">
                  <c:v>2016</c:v>
                </c:pt>
                <c:pt idx="2">
                  <c:v>2017</c:v>
                </c:pt>
                <c:pt idx="3">
                  <c:v>2018</c:v>
                </c:pt>
                <c:pt idx="4">
                  <c:v>2019</c:v>
                </c:pt>
              </c:numCache>
            </c:numRef>
          </c:cat>
          <c:val>
            <c:numRef>
              <c:f>Race!$H$13:$L$13</c:f>
              <c:numCache>
                <c:formatCode>0%</c:formatCode>
                <c:ptCount val="5"/>
                <c:pt idx="0">
                  <c:v>0.03</c:v>
                </c:pt>
                <c:pt idx="1">
                  <c:v>0.03</c:v>
                </c:pt>
                <c:pt idx="2">
                  <c:v>0.03</c:v>
                </c:pt>
                <c:pt idx="3">
                  <c:v>2.2203061004526837E-2</c:v>
                </c:pt>
                <c:pt idx="4">
                  <c:v>5.678723092692927E-2</c:v>
                </c:pt>
              </c:numCache>
            </c:numRef>
          </c:val>
          <c:smooth val="0"/>
          <c:extLst>
            <c:ext xmlns:c16="http://schemas.microsoft.com/office/drawing/2014/chart" uri="{C3380CC4-5D6E-409C-BE32-E72D297353CC}">
              <c16:uniqueId val="{00000003-C161-4945-AD63-1F5163558F73}"/>
            </c:ext>
          </c:extLst>
        </c:ser>
        <c:dLbls>
          <c:showLegendKey val="0"/>
          <c:showVal val="0"/>
          <c:showCatName val="0"/>
          <c:showSerName val="0"/>
          <c:showPercent val="0"/>
          <c:showBubbleSize val="0"/>
        </c:dLbls>
        <c:smooth val="0"/>
        <c:axId val="285232072"/>
        <c:axId val="285231680"/>
      </c:lineChart>
      <c:catAx>
        <c:axId val="285232072"/>
        <c:scaling>
          <c:orientation val="minMax"/>
        </c:scaling>
        <c:delete val="0"/>
        <c:axPos val="b"/>
        <c:numFmt formatCode="General" sourceLinked="1"/>
        <c:majorTickMark val="out"/>
        <c:minorTickMark val="none"/>
        <c:tickLblPos val="nextTo"/>
        <c:crossAx val="285231680"/>
        <c:crosses val="autoZero"/>
        <c:auto val="1"/>
        <c:lblAlgn val="ctr"/>
        <c:lblOffset val="100"/>
        <c:noMultiLvlLbl val="0"/>
      </c:catAx>
      <c:valAx>
        <c:axId val="285231680"/>
        <c:scaling>
          <c:orientation val="minMax"/>
          <c:max val="0.3"/>
        </c:scaling>
        <c:delete val="0"/>
        <c:axPos val="l"/>
        <c:majorGridlines/>
        <c:numFmt formatCode="0%" sourceLinked="1"/>
        <c:majorTickMark val="out"/>
        <c:minorTickMark val="none"/>
        <c:tickLblPos val="nextTo"/>
        <c:crossAx val="285232072"/>
        <c:crosses val="autoZero"/>
        <c:crossBetween val="between"/>
      </c:valAx>
    </c:plotArea>
    <c:legend>
      <c:legendPos val="b"/>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a:t>
            </a:r>
            <a:r>
              <a:rPr lang="en-US" b="0" baseline="0"/>
              <a:t> of</a:t>
            </a:r>
            <a:r>
              <a:rPr lang="en-US" b="0"/>
              <a:t> Children under 18 Uninsured in Travis County</a:t>
            </a:r>
          </a:p>
        </c:rich>
      </c:tx>
      <c:overlay val="0"/>
    </c:title>
    <c:autoTitleDeleted val="0"/>
    <c:plotArea>
      <c:layout/>
      <c:lineChart>
        <c:grouping val="standard"/>
        <c:varyColors val="0"/>
        <c:ser>
          <c:idx val="0"/>
          <c:order val="0"/>
          <c:tx>
            <c:strRef>
              <c:f>Race!$A$16</c:f>
              <c:strCache>
                <c:ptCount val="1"/>
                <c:pt idx="0">
                  <c:v>Black or African American Alone</c:v>
                </c:pt>
              </c:strCache>
            </c:strRef>
          </c:tx>
          <c:marker>
            <c:symbol val="none"/>
          </c:marker>
          <c:cat>
            <c:numRef>
              <c:f>Race!$H$15:$L$15</c:f>
              <c:numCache>
                <c:formatCode>General</c:formatCode>
                <c:ptCount val="5"/>
                <c:pt idx="0">
                  <c:v>2015</c:v>
                </c:pt>
                <c:pt idx="1">
                  <c:v>2016</c:v>
                </c:pt>
                <c:pt idx="2">
                  <c:v>2017</c:v>
                </c:pt>
                <c:pt idx="3">
                  <c:v>2018</c:v>
                </c:pt>
                <c:pt idx="4">
                  <c:v>2019</c:v>
                </c:pt>
              </c:numCache>
            </c:numRef>
          </c:cat>
          <c:val>
            <c:numRef>
              <c:f>Race!$H$16:$L$16</c:f>
              <c:numCache>
                <c:formatCode>0%</c:formatCode>
                <c:ptCount val="5"/>
                <c:pt idx="0">
                  <c:v>0.03</c:v>
                </c:pt>
                <c:pt idx="1">
                  <c:v>0.12</c:v>
                </c:pt>
                <c:pt idx="2">
                  <c:v>0.03</c:v>
                </c:pt>
                <c:pt idx="3">
                  <c:v>6.2413207838296562E-2</c:v>
                </c:pt>
                <c:pt idx="4">
                  <c:v>4.6790134449292135E-2</c:v>
                </c:pt>
              </c:numCache>
            </c:numRef>
          </c:val>
          <c:smooth val="0"/>
          <c:extLst>
            <c:ext xmlns:c16="http://schemas.microsoft.com/office/drawing/2014/chart" uri="{C3380CC4-5D6E-409C-BE32-E72D297353CC}">
              <c16:uniqueId val="{00000000-0E65-40C6-AAB5-97E1ED4F0BB3}"/>
            </c:ext>
          </c:extLst>
        </c:ser>
        <c:ser>
          <c:idx val="1"/>
          <c:order val="1"/>
          <c:tx>
            <c:strRef>
              <c:f>Race!$A$17</c:f>
              <c:strCache>
                <c:ptCount val="1"/>
                <c:pt idx="0">
                  <c:v>Asian Alone</c:v>
                </c:pt>
              </c:strCache>
            </c:strRef>
          </c:tx>
          <c:spPr>
            <a:ln>
              <a:solidFill>
                <a:schemeClr val="accent6"/>
              </a:solidFill>
            </a:ln>
          </c:spPr>
          <c:marker>
            <c:symbol val="none"/>
          </c:marker>
          <c:cat>
            <c:numRef>
              <c:f>Race!$H$15:$L$15</c:f>
              <c:numCache>
                <c:formatCode>General</c:formatCode>
                <c:ptCount val="5"/>
                <c:pt idx="0">
                  <c:v>2015</c:v>
                </c:pt>
                <c:pt idx="1">
                  <c:v>2016</c:v>
                </c:pt>
                <c:pt idx="2">
                  <c:v>2017</c:v>
                </c:pt>
                <c:pt idx="3">
                  <c:v>2018</c:v>
                </c:pt>
                <c:pt idx="4">
                  <c:v>2019</c:v>
                </c:pt>
              </c:numCache>
            </c:numRef>
          </c:cat>
          <c:val>
            <c:numRef>
              <c:f>Race!$H$17:$L$17</c:f>
              <c:numCache>
                <c:formatCode>0%</c:formatCode>
                <c:ptCount val="5"/>
                <c:pt idx="0">
                  <c:v>7.0000000000000007E-2</c:v>
                </c:pt>
                <c:pt idx="1">
                  <c:v>0.09</c:v>
                </c:pt>
                <c:pt idx="2">
                  <c:v>0.09</c:v>
                </c:pt>
                <c:pt idx="3">
                  <c:v>2.6908292147171883E-2</c:v>
                </c:pt>
                <c:pt idx="4">
                  <c:v>7.2900550776656969E-2</c:v>
                </c:pt>
              </c:numCache>
            </c:numRef>
          </c:val>
          <c:smooth val="0"/>
          <c:extLst>
            <c:ext xmlns:c16="http://schemas.microsoft.com/office/drawing/2014/chart" uri="{C3380CC4-5D6E-409C-BE32-E72D297353CC}">
              <c16:uniqueId val="{00000001-0E65-40C6-AAB5-97E1ED4F0BB3}"/>
            </c:ext>
          </c:extLst>
        </c:ser>
        <c:ser>
          <c:idx val="2"/>
          <c:order val="2"/>
          <c:tx>
            <c:strRef>
              <c:f>Race!$A$18</c:f>
              <c:strCache>
                <c:ptCount val="1"/>
                <c:pt idx="0">
                  <c:v>Hispanic or Latino</c:v>
                </c:pt>
              </c:strCache>
            </c:strRef>
          </c:tx>
          <c:spPr>
            <a:ln>
              <a:solidFill>
                <a:schemeClr val="accent2"/>
              </a:solidFill>
            </a:ln>
          </c:spPr>
          <c:marker>
            <c:symbol val="none"/>
          </c:marker>
          <c:cat>
            <c:numRef>
              <c:f>Race!$H$15:$L$15</c:f>
              <c:numCache>
                <c:formatCode>General</c:formatCode>
                <c:ptCount val="5"/>
                <c:pt idx="0">
                  <c:v>2015</c:v>
                </c:pt>
                <c:pt idx="1">
                  <c:v>2016</c:v>
                </c:pt>
                <c:pt idx="2">
                  <c:v>2017</c:v>
                </c:pt>
                <c:pt idx="3">
                  <c:v>2018</c:v>
                </c:pt>
                <c:pt idx="4">
                  <c:v>2019</c:v>
                </c:pt>
              </c:numCache>
            </c:numRef>
          </c:cat>
          <c:val>
            <c:numRef>
              <c:f>Race!$H$18:$L$18</c:f>
              <c:numCache>
                <c:formatCode>0%</c:formatCode>
                <c:ptCount val="5"/>
                <c:pt idx="0">
                  <c:v>0.12</c:v>
                </c:pt>
                <c:pt idx="1">
                  <c:v>0.12</c:v>
                </c:pt>
                <c:pt idx="2">
                  <c:v>0.12</c:v>
                </c:pt>
                <c:pt idx="3">
                  <c:v>0.10622768802565499</c:v>
                </c:pt>
                <c:pt idx="4">
                  <c:v>0.2040034038899409</c:v>
                </c:pt>
              </c:numCache>
            </c:numRef>
          </c:val>
          <c:smooth val="0"/>
          <c:extLst>
            <c:ext xmlns:c16="http://schemas.microsoft.com/office/drawing/2014/chart" uri="{C3380CC4-5D6E-409C-BE32-E72D297353CC}">
              <c16:uniqueId val="{00000002-0E65-40C6-AAB5-97E1ED4F0BB3}"/>
            </c:ext>
          </c:extLst>
        </c:ser>
        <c:ser>
          <c:idx val="3"/>
          <c:order val="3"/>
          <c:tx>
            <c:strRef>
              <c:f>Race!$A$19</c:f>
              <c:strCache>
                <c:ptCount val="1"/>
                <c:pt idx="0">
                  <c:v>White Alone, not Hispanic or Latino</c:v>
                </c:pt>
              </c:strCache>
            </c:strRef>
          </c:tx>
          <c:spPr>
            <a:ln>
              <a:solidFill>
                <a:schemeClr val="accent3"/>
              </a:solidFill>
            </a:ln>
          </c:spPr>
          <c:marker>
            <c:symbol val="none"/>
          </c:marker>
          <c:cat>
            <c:numRef>
              <c:f>Race!$H$15:$L$15</c:f>
              <c:numCache>
                <c:formatCode>General</c:formatCode>
                <c:ptCount val="5"/>
                <c:pt idx="0">
                  <c:v>2015</c:v>
                </c:pt>
                <c:pt idx="1">
                  <c:v>2016</c:v>
                </c:pt>
                <c:pt idx="2">
                  <c:v>2017</c:v>
                </c:pt>
                <c:pt idx="3">
                  <c:v>2018</c:v>
                </c:pt>
                <c:pt idx="4">
                  <c:v>2019</c:v>
                </c:pt>
              </c:numCache>
            </c:numRef>
          </c:cat>
          <c:val>
            <c:numRef>
              <c:f>Race!$H$19:$L$19</c:f>
              <c:numCache>
                <c:formatCode>0%</c:formatCode>
                <c:ptCount val="5"/>
                <c:pt idx="0">
                  <c:v>0.03</c:v>
                </c:pt>
                <c:pt idx="1">
                  <c:v>0.03</c:v>
                </c:pt>
                <c:pt idx="2">
                  <c:v>0.03</c:v>
                </c:pt>
                <c:pt idx="3">
                  <c:v>2.4808361011814897E-2</c:v>
                </c:pt>
                <c:pt idx="4">
                  <c:v>4.8875231910946199E-2</c:v>
                </c:pt>
              </c:numCache>
            </c:numRef>
          </c:val>
          <c:smooth val="0"/>
          <c:extLst>
            <c:ext xmlns:c16="http://schemas.microsoft.com/office/drawing/2014/chart" uri="{C3380CC4-5D6E-409C-BE32-E72D297353CC}">
              <c16:uniqueId val="{00000003-0E65-40C6-AAB5-97E1ED4F0BB3}"/>
            </c:ext>
          </c:extLst>
        </c:ser>
        <c:ser>
          <c:idx val="4"/>
          <c:order val="4"/>
          <c:tx>
            <c:strRef>
              <c:f>Race!$A$20</c:f>
              <c:strCache>
                <c:ptCount val="1"/>
                <c:pt idx="0">
                  <c:v>Travis County</c:v>
                </c:pt>
              </c:strCache>
            </c:strRef>
          </c:tx>
          <c:spPr>
            <a:ln>
              <a:solidFill>
                <a:schemeClr val="tx1"/>
              </a:solidFill>
            </a:ln>
          </c:spPr>
          <c:marker>
            <c:symbol val="none"/>
          </c:marker>
          <c:cat>
            <c:numRef>
              <c:f>Race!$H$15:$L$15</c:f>
              <c:numCache>
                <c:formatCode>General</c:formatCode>
                <c:ptCount val="5"/>
                <c:pt idx="0">
                  <c:v>2015</c:v>
                </c:pt>
                <c:pt idx="1">
                  <c:v>2016</c:v>
                </c:pt>
                <c:pt idx="2">
                  <c:v>2017</c:v>
                </c:pt>
                <c:pt idx="3">
                  <c:v>2018</c:v>
                </c:pt>
                <c:pt idx="4">
                  <c:v>2019</c:v>
                </c:pt>
              </c:numCache>
            </c:numRef>
          </c:cat>
          <c:val>
            <c:numRef>
              <c:f>Race!$H$20:$L$20</c:f>
              <c:numCache>
                <c:formatCode>0%</c:formatCode>
                <c:ptCount val="5"/>
                <c:pt idx="0">
                  <c:v>7.6999999999999999E-2</c:v>
                </c:pt>
                <c:pt idx="1">
                  <c:v>8.2000000000000003E-2</c:v>
                </c:pt>
                <c:pt idx="2">
                  <c:v>7.7080980140509653E-2</c:v>
                </c:pt>
                <c:pt idx="3">
                  <c:v>6.5947855835898017E-2</c:v>
                </c:pt>
                <c:pt idx="4">
                  <c:v>0.12153441138013595</c:v>
                </c:pt>
              </c:numCache>
            </c:numRef>
          </c:val>
          <c:smooth val="0"/>
          <c:extLst>
            <c:ext xmlns:c16="http://schemas.microsoft.com/office/drawing/2014/chart" uri="{C3380CC4-5D6E-409C-BE32-E72D297353CC}">
              <c16:uniqueId val="{00000004-0E65-40C6-AAB5-97E1ED4F0BB3}"/>
            </c:ext>
          </c:extLst>
        </c:ser>
        <c:dLbls>
          <c:showLegendKey val="0"/>
          <c:showVal val="0"/>
          <c:showCatName val="0"/>
          <c:showSerName val="0"/>
          <c:showPercent val="0"/>
          <c:showBubbleSize val="0"/>
        </c:dLbls>
        <c:smooth val="0"/>
        <c:axId val="285232856"/>
        <c:axId val="285234816"/>
      </c:lineChart>
      <c:catAx>
        <c:axId val="285232856"/>
        <c:scaling>
          <c:orientation val="minMax"/>
        </c:scaling>
        <c:delete val="0"/>
        <c:axPos val="b"/>
        <c:numFmt formatCode="General" sourceLinked="1"/>
        <c:majorTickMark val="out"/>
        <c:minorTickMark val="none"/>
        <c:tickLblPos val="nextTo"/>
        <c:crossAx val="285234816"/>
        <c:crosses val="autoZero"/>
        <c:auto val="1"/>
        <c:lblAlgn val="ctr"/>
        <c:lblOffset val="100"/>
        <c:noMultiLvlLbl val="0"/>
      </c:catAx>
      <c:valAx>
        <c:axId val="285234816"/>
        <c:scaling>
          <c:orientation val="minMax"/>
        </c:scaling>
        <c:delete val="0"/>
        <c:axPos val="l"/>
        <c:majorGridlines/>
        <c:numFmt formatCode="0%" sourceLinked="1"/>
        <c:majorTickMark val="out"/>
        <c:minorTickMark val="none"/>
        <c:tickLblPos val="nextTo"/>
        <c:crossAx val="285232856"/>
        <c:crosses val="autoZero"/>
        <c:crossBetween val="between"/>
      </c:valAx>
    </c:plotArea>
    <c:legend>
      <c:legendPos val="b"/>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787400</xdr:colOff>
      <xdr:row>7</xdr:row>
      <xdr:rowOff>146050</xdr:rowOff>
    </xdr:from>
    <xdr:to>
      <xdr:col>14</xdr:col>
      <xdr:colOff>787400</xdr:colOff>
      <xdr:row>27</xdr:row>
      <xdr:rowOff>139700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682625</xdr:colOff>
      <xdr:row>0</xdr:row>
      <xdr:rowOff>41275</xdr:rowOff>
    </xdr:from>
    <xdr:to>
      <xdr:col>22</xdr:col>
      <xdr:colOff>631825</xdr:colOff>
      <xdr:row>19</xdr:row>
      <xdr:rowOff>9525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744220</xdr:colOff>
      <xdr:row>21</xdr:row>
      <xdr:rowOff>125730</xdr:rowOff>
    </xdr:from>
    <xdr:to>
      <xdr:col>22</xdr:col>
      <xdr:colOff>718820</xdr:colOff>
      <xdr:row>40</xdr:row>
      <xdr:rowOff>93980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17780</xdr:colOff>
      <xdr:row>21</xdr:row>
      <xdr:rowOff>143510</xdr:rowOff>
    </xdr:from>
    <xdr:to>
      <xdr:col>32</xdr:col>
      <xdr:colOff>5080</xdr:colOff>
      <xdr:row>40</xdr:row>
      <xdr:rowOff>124460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
  <sheetViews>
    <sheetView tabSelected="1" workbookViewId="0">
      <selection activeCell="C6" sqref="C6:M6"/>
    </sheetView>
  </sheetViews>
  <sheetFormatPr defaultColWidth="11" defaultRowHeight="15.6" x14ac:dyDescent="0.3"/>
  <cols>
    <col min="1" max="1" width="12.69921875" customWidth="1"/>
  </cols>
  <sheetData>
    <row r="1" spans="1:13" ht="18" x14ac:dyDescent="0.35">
      <c r="A1" s="42" t="s">
        <v>4</v>
      </c>
      <c r="B1" s="42"/>
      <c r="C1" s="42"/>
      <c r="D1" s="42"/>
      <c r="E1" s="42"/>
      <c r="F1" s="42"/>
    </row>
    <row r="2" spans="1:13" x14ac:dyDescent="0.3">
      <c r="B2" s="1">
        <v>2008</v>
      </c>
      <c r="C2" s="1">
        <v>2009</v>
      </c>
      <c r="D2" s="1">
        <v>2010</v>
      </c>
      <c r="E2" s="1">
        <v>2011</v>
      </c>
      <c r="F2" s="1">
        <v>2012</v>
      </c>
      <c r="G2" s="1">
        <v>2013</v>
      </c>
      <c r="H2" s="1">
        <v>2014</v>
      </c>
      <c r="I2" s="1">
        <v>2015</v>
      </c>
      <c r="J2" s="1">
        <v>2016</v>
      </c>
      <c r="K2" s="1">
        <v>2017</v>
      </c>
      <c r="L2" s="1">
        <v>2018</v>
      </c>
      <c r="M2" s="1">
        <v>2019</v>
      </c>
    </row>
    <row r="3" spans="1:13" x14ac:dyDescent="0.3">
      <c r="A3" s="1" t="s">
        <v>0</v>
      </c>
      <c r="B3" s="2">
        <v>9.932833514408651E-2</v>
      </c>
      <c r="C3" s="2">
        <v>8.5999999999999993E-2</v>
      </c>
      <c r="D3" s="3">
        <v>0.08</v>
      </c>
      <c r="E3" s="3">
        <v>7.4999999999999997E-2</v>
      </c>
      <c r="F3" s="3">
        <v>7.1999999999999995E-2</v>
      </c>
      <c r="G3" s="3">
        <v>7.0999999999999994E-2</v>
      </c>
      <c r="H3" s="3">
        <v>0.06</v>
      </c>
      <c r="I3" s="3">
        <v>4.8000000000000001E-2</v>
      </c>
      <c r="J3" s="16">
        <v>4.4999999999999998E-2</v>
      </c>
      <c r="K3" s="3">
        <v>5.026953202269132E-2</v>
      </c>
      <c r="L3" s="3">
        <v>5.2114117319442987E-2</v>
      </c>
      <c r="M3" s="16">
        <v>5.6562088754720852E-2</v>
      </c>
    </row>
    <row r="4" spans="1:13" x14ac:dyDescent="0.3">
      <c r="A4" s="1" t="s">
        <v>1</v>
      </c>
      <c r="B4" s="2">
        <v>0.17813014685928574</v>
      </c>
      <c r="C4" s="2">
        <v>0.16300000000000001</v>
      </c>
      <c r="D4" s="3">
        <v>0.14499999999999999</v>
      </c>
      <c r="E4" s="2">
        <v>0.13200000000000001</v>
      </c>
      <c r="F4" s="3">
        <v>0.124</v>
      </c>
      <c r="G4" s="14">
        <v>0.126</v>
      </c>
      <c r="H4" s="14">
        <v>0.11</v>
      </c>
      <c r="I4" s="16">
        <v>9.5000000000000001E-2</v>
      </c>
      <c r="J4" s="16">
        <v>9.1999999999999998E-2</v>
      </c>
      <c r="K4" s="14">
        <v>0.10725862568581102</v>
      </c>
      <c r="L4" s="16">
        <v>0.11153418057978237</v>
      </c>
      <c r="M4" s="16">
        <v>0.12747262824086508</v>
      </c>
    </row>
    <row r="5" spans="1:13" x14ac:dyDescent="0.3">
      <c r="A5" s="1" t="s">
        <v>23</v>
      </c>
      <c r="B5" s="2">
        <v>0.16446282346384675</v>
      </c>
      <c r="C5" s="2">
        <v>0.13900000000000001</v>
      </c>
      <c r="D5" s="3">
        <v>0.108</v>
      </c>
      <c r="E5" s="2">
        <v>0.107</v>
      </c>
      <c r="F5" s="3">
        <v>9.6000000000000002E-2</v>
      </c>
      <c r="G5" s="14">
        <v>9.7000000000000003E-2</v>
      </c>
      <c r="H5" s="14">
        <v>9.8000000000000004E-2</v>
      </c>
      <c r="I5" s="16">
        <v>7.0000000000000007E-2</v>
      </c>
      <c r="J5" s="16">
        <v>7.4999999999999997E-2</v>
      </c>
      <c r="K5" s="14">
        <v>7.3655070978263557E-2</v>
      </c>
      <c r="L5" s="16">
        <v>7.9027037518386231E-2</v>
      </c>
      <c r="M5" s="16">
        <v>0.10955002847921018</v>
      </c>
    </row>
    <row r="6" spans="1:13" x14ac:dyDescent="0.3">
      <c r="A6" s="1" t="s">
        <v>2</v>
      </c>
      <c r="B6" s="3">
        <v>0.18351017221877042</v>
      </c>
      <c r="C6" s="2">
        <v>0.157</v>
      </c>
      <c r="D6" s="3">
        <v>0.11600000000000001</v>
      </c>
      <c r="E6" s="3">
        <v>0.106</v>
      </c>
      <c r="F6" s="3">
        <v>9.8000000000000004E-2</v>
      </c>
      <c r="G6" s="14">
        <v>8.8999999999999996E-2</v>
      </c>
      <c r="H6" s="14">
        <v>0.105</v>
      </c>
      <c r="I6" s="16">
        <v>7.6999999999999999E-2</v>
      </c>
      <c r="J6" s="16">
        <v>8.2000000000000003E-2</v>
      </c>
      <c r="K6" s="14">
        <v>7.7080980140509653E-2</v>
      </c>
      <c r="L6" s="16">
        <v>6.5947855835898017E-2</v>
      </c>
      <c r="M6" s="16">
        <v>0.12153441138013595</v>
      </c>
    </row>
    <row r="7" spans="1:13" x14ac:dyDescent="0.3">
      <c r="A7" s="1" t="s">
        <v>25</v>
      </c>
      <c r="B7" s="3">
        <v>0.20499806276636962</v>
      </c>
      <c r="C7" s="2">
        <v>0.153</v>
      </c>
      <c r="D7" s="3">
        <v>0.128</v>
      </c>
      <c r="E7" s="3">
        <v>0.111</v>
      </c>
      <c r="F7" s="3">
        <v>0.104</v>
      </c>
      <c r="G7" s="14">
        <v>7.1999999999999995E-2</v>
      </c>
      <c r="H7" s="14">
        <v>0.11</v>
      </c>
      <c r="I7" s="17">
        <v>8.8999999999999996E-2</v>
      </c>
      <c r="J7" s="16">
        <v>8.4000000000000005E-2</v>
      </c>
      <c r="K7" s="14">
        <v>7.6188384577842855E-2</v>
      </c>
      <c r="L7" s="17">
        <v>7.5875814336284944E-2</v>
      </c>
      <c r="M7" s="16">
        <v>0.10617171016716585</v>
      </c>
    </row>
    <row r="9" spans="1:13" x14ac:dyDescent="0.3">
      <c r="A9" s="1" t="s">
        <v>5</v>
      </c>
    </row>
  </sheetData>
  <mergeCells count="1">
    <mergeCell ref="A1:F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72"/>
  <sheetViews>
    <sheetView workbookViewId="0">
      <selection activeCell="N15" sqref="N15"/>
    </sheetView>
  </sheetViews>
  <sheetFormatPr defaultColWidth="11" defaultRowHeight="15.6" x14ac:dyDescent="0.3"/>
  <cols>
    <col min="1" max="1" width="14" customWidth="1"/>
    <col min="4" max="4" width="14.3984375" customWidth="1"/>
    <col min="9" max="9" width="12.59765625" bestFit="1" customWidth="1"/>
    <col min="10" max="10" width="14.69921875" customWidth="1"/>
  </cols>
  <sheetData>
    <row r="1" spans="1:17" ht="18" x14ac:dyDescent="0.35">
      <c r="A1" s="42" t="s">
        <v>4</v>
      </c>
      <c r="B1" s="42"/>
      <c r="C1" s="42"/>
      <c r="D1" s="42"/>
      <c r="E1" s="42"/>
      <c r="F1" s="42"/>
      <c r="G1" s="42"/>
      <c r="H1" s="42"/>
      <c r="I1" s="42"/>
      <c r="J1" s="42"/>
      <c r="K1" s="18"/>
    </row>
    <row r="2" spans="1:17" x14ac:dyDescent="0.3">
      <c r="B2" s="1"/>
      <c r="C2" s="1" t="s">
        <v>18</v>
      </c>
      <c r="D2" s="1" t="s">
        <v>19</v>
      </c>
      <c r="E2" s="1" t="s">
        <v>20</v>
      </c>
      <c r="F2" s="1" t="s">
        <v>21</v>
      </c>
      <c r="G2" s="1"/>
      <c r="H2" s="1"/>
      <c r="I2" s="1" t="s">
        <v>22</v>
      </c>
      <c r="J2" s="1" t="s">
        <v>19</v>
      </c>
      <c r="K2" s="1" t="s">
        <v>20</v>
      </c>
      <c r="L2" s="1" t="s">
        <v>21</v>
      </c>
      <c r="O2" s="1">
        <v>2015</v>
      </c>
      <c r="P2" s="1">
        <v>2016</v>
      </c>
      <c r="Q2" s="1">
        <v>2017</v>
      </c>
    </row>
    <row r="3" spans="1:17" x14ac:dyDescent="0.3">
      <c r="A3" s="1" t="s">
        <v>0</v>
      </c>
      <c r="B3" s="10">
        <v>2008</v>
      </c>
      <c r="C3" s="13">
        <f>7329046/73786055</f>
        <v>9.932833514408651E-2</v>
      </c>
      <c r="D3" s="13">
        <f>(SQRT(73710^2-(C3^2*31254^2)))/73786055</f>
        <v>9.9808287049782548E-4</v>
      </c>
      <c r="E3" s="13">
        <f>C3-D3</f>
        <v>9.8330252273588686E-2</v>
      </c>
      <c r="F3" s="4">
        <f>C3+D3</f>
        <v>0.10032641801458433</v>
      </c>
      <c r="G3" s="3"/>
      <c r="H3" s="10">
        <v>2008</v>
      </c>
      <c r="I3" s="11">
        <v>7329046</v>
      </c>
      <c r="J3" s="11">
        <v>73710</v>
      </c>
      <c r="K3" s="11">
        <f>I3-J3</f>
        <v>7255336</v>
      </c>
      <c r="L3" s="12">
        <f>I3+J3</f>
        <v>7402756</v>
      </c>
      <c r="N3" s="1" t="s">
        <v>0</v>
      </c>
      <c r="O3" s="17">
        <f>C10</f>
        <v>4.8000000000000001E-2</v>
      </c>
      <c r="P3" s="17">
        <f>C11</f>
        <v>4.4999999999999998E-2</v>
      </c>
      <c r="Q3" s="17">
        <f>C12</f>
        <v>5.026953202269132E-2</v>
      </c>
    </row>
    <row r="4" spans="1:17" x14ac:dyDescent="0.3">
      <c r="A4" s="1"/>
      <c r="B4" s="10">
        <v>2009</v>
      </c>
      <c r="C4" s="13">
        <v>8.5999999999999993E-2</v>
      </c>
      <c r="D4" s="13">
        <v>1E-3</v>
      </c>
      <c r="E4" s="13">
        <f t="shared" ref="E4:E14" si="0">C4-D4</f>
        <v>8.4999999999999992E-2</v>
      </c>
      <c r="F4" s="4">
        <f t="shared" ref="F4:F14" si="1">C4+D4</f>
        <v>8.6999999999999994E-2</v>
      </c>
      <c r="G4" s="3"/>
      <c r="H4" s="10">
        <v>2009</v>
      </c>
      <c r="I4" s="11">
        <v>6369023</v>
      </c>
      <c r="J4" s="11">
        <v>69040</v>
      </c>
      <c r="K4" s="11">
        <f t="shared" ref="K4:K14" si="2">I4-J4</f>
        <v>6299983</v>
      </c>
      <c r="L4" s="12">
        <f t="shared" ref="L4:L14" si="3">I4+J4</f>
        <v>6438063</v>
      </c>
      <c r="N4" s="1" t="s">
        <v>1</v>
      </c>
      <c r="O4" s="17">
        <f>C24</f>
        <v>9.5000000000000001E-2</v>
      </c>
      <c r="P4" s="17">
        <f>C25</f>
        <v>9.1999999999999998E-2</v>
      </c>
      <c r="Q4" s="17">
        <f>C26</f>
        <v>0.10725862568581102</v>
      </c>
    </row>
    <row r="5" spans="1:17" x14ac:dyDescent="0.3">
      <c r="A5" s="1"/>
      <c r="B5" s="10">
        <v>2010</v>
      </c>
      <c r="C5" s="4">
        <v>0.08</v>
      </c>
      <c r="D5" s="13">
        <v>1E-3</v>
      </c>
      <c r="E5" s="13">
        <f t="shared" si="0"/>
        <v>7.9000000000000001E-2</v>
      </c>
      <c r="F5" s="4">
        <f t="shared" si="1"/>
        <v>8.1000000000000003E-2</v>
      </c>
      <c r="G5" s="3"/>
      <c r="H5" s="10">
        <v>2010</v>
      </c>
      <c r="I5" s="12">
        <v>5918388</v>
      </c>
      <c r="J5" s="11">
        <v>62484</v>
      </c>
      <c r="K5" s="11">
        <f t="shared" si="2"/>
        <v>5855904</v>
      </c>
      <c r="L5" s="12">
        <f t="shared" si="3"/>
        <v>5980872</v>
      </c>
      <c r="N5" s="1" t="s">
        <v>23</v>
      </c>
      <c r="O5" s="17">
        <f>C38</f>
        <v>7.0000000000000007E-2</v>
      </c>
      <c r="P5" s="17">
        <f>C39</f>
        <v>7.4999999999999997E-2</v>
      </c>
      <c r="Q5" s="17">
        <f>C40</f>
        <v>7.3655070978263557E-2</v>
      </c>
    </row>
    <row r="6" spans="1:17" x14ac:dyDescent="0.3">
      <c r="B6" s="10">
        <v>2011</v>
      </c>
      <c r="C6" s="4">
        <v>7.4999999999999997E-2</v>
      </c>
      <c r="D6" s="4">
        <v>1E-3</v>
      </c>
      <c r="E6" s="13">
        <f t="shared" si="0"/>
        <v>7.3999999999999996E-2</v>
      </c>
      <c r="F6" s="4">
        <f t="shared" si="1"/>
        <v>7.5999999999999998E-2</v>
      </c>
      <c r="H6" s="10">
        <v>2011</v>
      </c>
      <c r="I6" s="12">
        <v>5527657</v>
      </c>
      <c r="J6" s="12">
        <v>60705</v>
      </c>
      <c r="K6" s="11">
        <f t="shared" si="2"/>
        <v>5466952</v>
      </c>
      <c r="L6" s="12">
        <f t="shared" si="3"/>
        <v>5588362</v>
      </c>
      <c r="N6" s="1" t="s">
        <v>2</v>
      </c>
      <c r="O6" s="17">
        <f>C52</f>
        <v>7.6999999999999999E-2</v>
      </c>
      <c r="P6" s="17">
        <f>C53</f>
        <v>8.2000000000000003E-2</v>
      </c>
      <c r="Q6" s="17">
        <f>C54</f>
        <v>7.7080980140509653E-2</v>
      </c>
    </row>
    <row r="7" spans="1:17" x14ac:dyDescent="0.3">
      <c r="A7" s="1"/>
      <c r="B7" s="10">
        <v>2012</v>
      </c>
      <c r="C7" s="4">
        <v>7.1999999999999995E-2</v>
      </c>
      <c r="D7" s="4">
        <v>1E-3</v>
      </c>
      <c r="E7" s="13">
        <f t="shared" si="0"/>
        <v>7.0999999999999994E-2</v>
      </c>
      <c r="F7" s="4">
        <f t="shared" si="1"/>
        <v>7.2999999999999995E-2</v>
      </c>
      <c r="H7" s="10">
        <v>2012</v>
      </c>
      <c r="I7" s="12">
        <v>5263807</v>
      </c>
      <c r="J7" s="12">
        <v>56117</v>
      </c>
      <c r="K7" s="11">
        <f t="shared" si="2"/>
        <v>5207690</v>
      </c>
      <c r="L7" s="12">
        <f t="shared" si="3"/>
        <v>5319924</v>
      </c>
      <c r="N7" s="1" t="s">
        <v>25</v>
      </c>
      <c r="O7" s="17">
        <f>C66</f>
        <v>8.8999999999999996E-2</v>
      </c>
      <c r="P7" s="17">
        <f>C67</f>
        <v>8.4000000000000005E-2</v>
      </c>
      <c r="Q7" s="17">
        <f>C68</f>
        <v>7.6188384577842855E-2</v>
      </c>
    </row>
    <row r="8" spans="1:17" x14ac:dyDescent="0.3">
      <c r="B8" s="10">
        <v>2013</v>
      </c>
      <c r="C8" s="4">
        <v>7.0999999999999994E-2</v>
      </c>
      <c r="D8" s="4">
        <v>1E-3</v>
      </c>
      <c r="E8" s="13">
        <f t="shared" si="0"/>
        <v>6.9999999999999993E-2</v>
      </c>
      <c r="F8" s="4">
        <f t="shared" si="1"/>
        <v>7.1999999999999995E-2</v>
      </c>
      <c r="H8" s="10">
        <v>2013</v>
      </c>
      <c r="I8" s="12">
        <v>5234332</v>
      </c>
      <c r="J8" s="12">
        <v>53789</v>
      </c>
      <c r="K8" s="11">
        <f t="shared" si="2"/>
        <v>5180543</v>
      </c>
      <c r="L8" s="12">
        <f t="shared" si="3"/>
        <v>5288121</v>
      </c>
    </row>
    <row r="9" spans="1:17" x14ac:dyDescent="0.3">
      <c r="B9" s="10">
        <v>2014</v>
      </c>
      <c r="C9" s="4">
        <v>0.06</v>
      </c>
      <c r="D9" s="4">
        <v>1E-3</v>
      </c>
      <c r="E9" s="13">
        <f t="shared" si="0"/>
        <v>5.8999999999999997E-2</v>
      </c>
      <c r="F9" s="4">
        <f t="shared" si="1"/>
        <v>6.0999999999999999E-2</v>
      </c>
      <c r="H9" s="10">
        <v>2014</v>
      </c>
      <c r="I9" s="12">
        <v>4396536</v>
      </c>
      <c r="J9" s="12">
        <v>52316</v>
      </c>
      <c r="K9" s="11">
        <f t="shared" si="2"/>
        <v>4344220</v>
      </c>
      <c r="L9" s="12">
        <f t="shared" si="3"/>
        <v>4448852</v>
      </c>
    </row>
    <row r="10" spans="1:17" x14ac:dyDescent="0.3">
      <c r="B10" s="10">
        <v>2015</v>
      </c>
      <c r="C10" s="4">
        <v>4.8000000000000001E-2</v>
      </c>
      <c r="D10" s="4">
        <v>1E-3</v>
      </c>
      <c r="E10" s="13">
        <f t="shared" si="0"/>
        <v>4.7E-2</v>
      </c>
      <c r="F10" s="4">
        <f t="shared" si="1"/>
        <v>4.9000000000000002E-2</v>
      </c>
      <c r="H10" s="10">
        <v>2015</v>
      </c>
      <c r="I10" s="20">
        <v>3533985</v>
      </c>
      <c r="J10" s="12">
        <v>46354</v>
      </c>
      <c r="K10" s="11">
        <f t="shared" si="2"/>
        <v>3487631</v>
      </c>
      <c r="L10" s="12">
        <f t="shared" si="3"/>
        <v>3580339</v>
      </c>
    </row>
    <row r="11" spans="1:17" x14ac:dyDescent="0.3">
      <c r="B11" s="10">
        <v>2016</v>
      </c>
      <c r="C11" s="4">
        <v>4.4999999999999998E-2</v>
      </c>
      <c r="D11" s="4">
        <v>1E-3</v>
      </c>
      <c r="E11" s="13">
        <f t="shared" si="0"/>
        <v>4.3999999999999997E-2</v>
      </c>
      <c r="F11" s="4">
        <f t="shared" si="1"/>
        <v>4.5999999999999999E-2</v>
      </c>
      <c r="H11" s="10">
        <v>2016</v>
      </c>
      <c r="I11" s="20">
        <v>3277474</v>
      </c>
      <c r="J11" s="12">
        <v>44188</v>
      </c>
      <c r="K11" s="11">
        <f t="shared" si="2"/>
        <v>3233286</v>
      </c>
      <c r="L11" s="12">
        <f t="shared" si="3"/>
        <v>3321662</v>
      </c>
    </row>
    <row r="12" spans="1:17" x14ac:dyDescent="0.3">
      <c r="B12" s="10">
        <v>2017</v>
      </c>
      <c r="C12" s="4">
        <v>5.026953202269132E-2</v>
      </c>
      <c r="D12" s="4">
        <v>5.943245692868693E-4</v>
      </c>
      <c r="E12" s="13">
        <f t="shared" si="0"/>
        <v>4.9675207453404452E-2</v>
      </c>
      <c r="F12" s="4">
        <f t="shared" si="1"/>
        <v>5.0863856591978188E-2</v>
      </c>
      <c r="H12" s="10">
        <v>2017</v>
      </c>
      <c r="I12" s="20">
        <v>3924810</v>
      </c>
      <c r="J12" s="12">
        <v>46565.950017153089</v>
      </c>
      <c r="K12" s="11">
        <f t="shared" si="2"/>
        <v>3878244.0499828467</v>
      </c>
      <c r="L12" s="12">
        <f t="shared" si="3"/>
        <v>3971375.9500171533</v>
      </c>
    </row>
    <row r="13" spans="1:17" x14ac:dyDescent="0.3">
      <c r="B13" s="10">
        <v>2018</v>
      </c>
      <c r="C13" s="4">
        <v>5.2114117319442987E-2</v>
      </c>
      <c r="D13" s="4">
        <v>5.487103997659262E-4</v>
      </c>
      <c r="E13" s="13">
        <f t="shared" si="0"/>
        <v>5.1565406919677058E-2</v>
      </c>
      <c r="F13" s="4">
        <f t="shared" si="1"/>
        <v>5.2662827719208917E-2</v>
      </c>
      <c r="H13" s="10">
        <v>2018</v>
      </c>
      <c r="I13" s="20">
        <v>4055370</v>
      </c>
      <c r="J13" s="12">
        <v>42858.321105708281</v>
      </c>
      <c r="K13" s="11">
        <f t="shared" si="2"/>
        <v>4012511.6788942916</v>
      </c>
      <c r="L13" s="12">
        <f t="shared" si="3"/>
        <v>4098228.3211057084</v>
      </c>
    </row>
    <row r="14" spans="1:17" x14ac:dyDescent="0.3">
      <c r="B14" s="10">
        <v>2019</v>
      </c>
      <c r="C14" s="4">
        <v>5.6562088754720852E-2</v>
      </c>
      <c r="D14" s="4">
        <v>6.6754396838804373E-4</v>
      </c>
      <c r="E14" s="13">
        <f t="shared" si="0"/>
        <v>5.5894544786332809E-2</v>
      </c>
      <c r="F14" s="4">
        <f t="shared" si="1"/>
        <v>5.7229632723108895E-2</v>
      </c>
      <c r="H14" s="10">
        <v>2019</v>
      </c>
      <c r="I14" s="20">
        <v>4375102</v>
      </c>
      <c r="J14" s="12">
        <v>51813.74706581256</v>
      </c>
      <c r="K14" s="11">
        <f t="shared" si="2"/>
        <v>4323288.2529341877</v>
      </c>
      <c r="L14" s="12">
        <f t="shared" si="3"/>
        <v>4426915.7470658123</v>
      </c>
    </row>
    <row r="15" spans="1:17" x14ac:dyDescent="0.3">
      <c r="B15" s="10"/>
      <c r="C15" s="4"/>
      <c r="D15" s="4"/>
      <c r="E15" s="13"/>
      <c r="F15" s="4"/>
      <c r="H15" s="10"/>
      <c r="I15" s="20"/>
      <c r="J15" s="12"/>
      <c r="K15" s="11"/>
      <c r="L15" s="12"/>
    </row>
    <row r="16" spans="1:17" x14ac:dyDescent="0.3">
      <c r="B16" s="1"/>
      <c r="C16" s="1" t="s">
        <v>18</v>
      </c>
      <c r="D16" s="1" t="s">
        <v>19</v>
      </c>
      <c r="E16" s="1" t="s">
        <v>20</v>
      </c>
      <c r="F16" s="1" t="s">
        <v>21</v>
      </c>
      <c r="G16" s="1"/>
      <c r="H16" s="1"/>
      <c r="I16" s="1" t="s">
        <v>22</v>
      </c>
      <c r="J16" s="1" t="s">
        <v>19</v>
      </c>
      <c r="K16" s="1" t="s">
        <v>20</v>
      </c>
      <c r="L16" s="1" t="s">
        <v>21</v>
      </c>
    </row>
    <row r="17" spans="1:12" x14ac:dyDescent="0.3">
      <c r="A17" s="1" t="s">
        <v>1</v>
      </c>
      <c r="B17" s="10">
        <v>2008</v>
      </c>
      <c r="C17" s="13">
        <f>1195974/6714046</f>
        <v>0.17813014685928574</v>
      </c>
      <c r="D17" s="13">
        <f>(SQRT(24134^2-(C17^2*4508^2)))/6714046</f>
        <v>3.5925635616611421E-3</v>
      </c>
      <c r="E17" s="13">
        <f>C17-D17</f>
        <v>0.17453758329762459</v>
      </c>
      <c r="F17" s="4">
        <f>C17+D17</f>
        <v>0.1817227104209469</v>
      </c>
      <c r="G17" s="3"/>
      <c r="H17" s="10">
        <v>2008</v>
      </c>
      <c r="I17" s="11">
        <v>1195974</v>
      </c>
      <c r="J17" s="11">
        <v>24134</v>
      </c>
      <c r="K17" s="11">
        <f>I17-J17</f>
        <v>1171840</v>
      </c>
      <c r="L17" s="12">
        <f>I17+J17</f>
        <v>1220108</v>
      </c>
    </row>
    <row r="18" spans="1:12" x14ac:dyDescent="0.3">
      <c r="A18" s="1"/>
      <c r="B18" s="10">
        <v>2009</v>
      </c>
      <c r="C18" s="13">
        <v>0.16300000000000001</v>
      </c>
      <c r="D18" s="13">
        <v>4.0000000000000001E-3</v>
      </c>
      <c r="E18" s="13">
        <f t="shared" ref="E18:E28" si="4">C18-D18</f>
        <v>0.159</v>
      </c>
      <c r="F18" s="4">
        <f t="shared" ref="F18:F28" si="5">C18+D18</f>
        <v>0.16700000000000001</v>
      </c>
      <c r="G18" s="3"/>
      <c r="H18" s="10">
        <v>2009</v>
      </c>
      <c r="I18" s="11">
        <v>1119685</v>
      </c>
      <c r="J18" s="11">
        <v>25854</v>
      </c>
      <c r="K18" s="11">
        <f t="shared" ref="K18:K28" si="6">I18-J18</f>
        <v>1093831</v>
      </c>
      <c r="L18" s="12">
        <f t="shared" ref="L18:L28" si="7">I18+J18</f>
        <v>1145539</v>
      </c>
    </row>
    <row r="19" spans="1:12" x14ac:dyDescent="0.3">
      <c r="A19" s="1"/>
      <c r="B19" s="10">
        <v>2010</v>
      </c>
      <c r="C19" s="4">
        <v>0.14499999999999999</v>
      </c>
      <c r="D19" s="13">
        <v>3.0000000000000001E-3</v>
      </c>
      <c r="E19" s="13">
        <f t="shared" si="4"/>
        <v>0.14199999999999999</v>
      </c>
      <c r="F19" s="4">
        <f t="shared" si="5"/>
        <v>0.14799999999999999</v>
      </c>
      <c r="G19" s="3"/>
      <c r="H19" s="10">
        <v>2010</v>
      </c>
      <c r="I19" s="12">
        <v>996493</v>
      </c>
      <c r="J19" s="11">
        <v>21286</v>
      </c>
      <c r="K19" s="11">
        <f t="shared" si="6"/>
        <v>975207</v>
      </c>
      <c r="L19" s="12">
        <f t="shared" si="7"/>
        <v>1017779</v>
      </c>
    </row>
    <row r="20" spans="1:12" x14ac:dyDescent="0.3">
      <c r="B20" s="10">
        <v>2011</v>
      </c>
      <c r="C20" s="4">
        <v>0.13200000000000001</v>
      </c>
      <c r="D20" s="4">
        <v>4.0000000000000001E-3</v>
      </c>
      <c r="E20" s="13">
        <f t="shared" si="4"/>
        <v>0.128</v>
      </c>
      <c r="F20" s="4">
        <f t="shared" si="5"/>
        <v>0.13600000000000001</v>
      </c>
      <c r="H20" s="10">
        <v>2011</v>
      </c>
      <c r="I20" s="12">
        <v>916522</v>
      </c>
      <c r="J20" s="12">
        <v>26269</v>
      </c>
      <c r="K20" s="11">
        <f t="shared" si="6"/>
        <v>890253</v>
      </c>
      <c r="L20" s="12">
        <f t="shared" si="7"/>
        <v>942791</v>
      </c>
    </row>
    <row r="21" spans="1:12" x14ac:dyDescent="0.3">
      <c r="A21" s="1"/>
      <c r="B21" s="10">
        <v>2012</v>
      </c>
      <c r="C21" s="4">
        <v>0.124</v>
      </c>
      <c r="D21" s="4">
        <v>4.0000000000000001E-3</v>
      </c>
      <c r="E21" s="13">
        <f t="shared" si="4"/>
        <v>0.12</v>
      </c>
      <c r="F21" s="4">
        <f t="shared" si="5"/>
        <v>0.128</v>
      </c>
      <c r="H21" s="10">
        <v>2012</v>
      </c>
      <c r="I21" s="12">
        <v>863290</v>
      </c>
      <c r="J21" s="12">
        <v>24422</v>
      </c>
      <c r="K21" s="11">
        <f t="shared" si="6"/>
        <v>838868</v>
      </c>
      <c r="L21" s="12">
        <f t="shared" si="7"/>
        <v>887712</v>
      </c>
    </row>
    <row r="22" spans="1:12" x14ac:dyDescent="0.3">
      <c r="B22" s="10">
        <v>2013</v>
      </c>
      <c r="C22" s="4">
        <v>0.126</v>
      </c>
      <c r="D22" s="4">
        <v>3.0000000000000001E-3</v>
      </c>
      <c r="E22" s="13">
        <f t="shared" si="4"/>
        <v>0.123</v>
      </c>
      <c r="F22" s="4">
        <f t="shared" si="5"/>
        <v>0.129</v>
      </c>
      <c r="H22" s="10">
        <v>2013</v>
      </c>
      <c r="I22" s="12">
        <v>888305</v>
      </c>
      <c r="J22" s="12">
        <v>23568</v>
      </c>
      <c r="K22" s="11">
        <f t="shared" si="6"/>
        <v>864737</v>
      </c>
      <c r="L22" s="12">
        <f t="shared" si="7"/>
        <v>911873</v>
      </c>
    </row>
    <row r="23" spans="1:12" x14ac:dyDescent="0.3">
      <c r="B23" s="10">
        <v>2014</v>
      </c>
      <c r="C23" s="4">
        <v>0.11</v>
      </c>
      <c r="D23" s="4">
        <v>2E-3</v>
      </c>
      <c r="E23" s="13">
        <f t="shared" si="4"/>
        <v>0.108</v>
      </c>
      <c r="F23" s="4">
        <f t="shared" si="5"/>
        <v>0.112</v>
      </c>
      <c r="H23" s="10">
        <v>2014</v>
      </c>
      <c r="I23" s="12">
        <v>783938</v>
      </c>
      <c r="J23" s="12">
        <v>17662</v>
      </c>
      <c r="K23" s="11">
        <f t="shared" si="6"/>
        <v>766276</v>
      </c>
      <c r="L23" s="12">
        <f t="shared" si="7"/>
        <v>801600</v>
      </c>
    </row>
    <row r="24" spans="1:12" x14ac:dyDescent="0.3">
      <c r="B24" s="10">
        <v>2015</v>
      </c>
      <c r="C24" s="4">
        <v>9.5000000000000001E-2</v>
      </c>
      <c r="D24" s="4">
        <v>3.0000000000000001E-3</v>
      </c>
      <c r="E24" s="13">
        <f t="shared" si="4"/>
        <v>9.1999999999999998E-2</v>
      </c>
      <c r="F24" s="4">
        <f t="shared" si="5"/>
        <v>9.8000000000000004E-2</v>
      </c>
      <c r="H24" s="10">
        <v>2015</v>
      </c>
      <c r="I24" s="12">
        <v>682123</v>
      </c>
      <c r="J24" s="12">
        <v>2258</v>
      </c>
      <c r="K24" s="11">
        <f t="shared" si="6"/>
        <v>679865</v>
      </c>
      <c r="L24" s="12">
        <f t="shared" si="7"/>
        <v>684381</v>
      </c>
    </row>
    <row r="25" spans="1:12" x14ac:dyDescent="0.3">
      <c r="B25" s="10">
        <v>2016</v>
      </c>
      <c r="C25" s="4">
        <v>9.1999999999999998E-2</v>
      </c>
      <c r="D25" s="4">
        <v>3.0000000000000001E-3</v>
      </c>
      <c r="E25" s="13">
        <f t="shared" si="4"/>
        <v>8.8999999999999996E-2</v>
      </c>
      <c r="F25" s="4">
        <f t="shared" si="5"/>
        <v>9.5000000000000001E-2</v>
      </c>
      <c r="H25" s="10">
        <v>2016</v>
      </c>
      <c r="I25" s="20">
        <v>670822</v>
      </c>
      <c r="J25" s="12">
        <v>20691</v>
      </c>
      <c r="K25" s="11">
        <f t="shared" si="6"/>
        <v>650131</v>
      </c>
      <c r="L25" s="12">
        <f t="shared" si="7"/>
        <v>691513</v>
      </c>
    </row>
    <row r="26" spans="1:12" x14ac:dyDescent="0.3">
      <c r="B26" s="10">
        <v>2017</v>
      </c>
      <c r="C26" s="4">
        <v>0.10725862568581102</v>
      </c>
      <c r="D26" s="4">
        <v>3.1209217637873936E-3</v>
      </c>
      <c r="E26" s="13">
        <f t="shared" si="4"/>
        <v>0.10413770392202362</v>
      </c>
      <c r="F26" s="4">
        <f t="shared" si="5"/>
        <v>0.11037954744959841</v>
      </c>
      <c r="H26" s="10">
        <v>2017</v>
      </c>
      <c r="I26" s="20">
        <v>834670</v>
      </c>
      <c r="J26" s="12">
        <v>24444.58913543036</v>
      </c>
      <c r="K26" s="11">
        <f t="shared" si="6"/>
        <v>810225.4108645696</v>
      </c>
      <c r="L26" s="12">
        <f t="shared" si="7"/>
        <v>859114.5891354304</v>
      </c>
    </row>
    <row r="27" spans="1:12" x14ac:dyDescent="0.3">
      <c r="B27" s="10">
        <v>2018</v>
      </c>
      <c r="C27" s="4">
        <v>0.11153418057978237</v>
      </c>
      <c r="D27" s="4">
        <v>2.8347317967071703E-3</v>
      </c>
      <c r="E27" s="13">
        <f t="shared" si="4"/>
        <v>0.10869944878307521</v>
      </c>
      <c r="F27" s="4">
        <f t="shared" si="5"/>
        <v>0.11436891237648954</v>
      </c>
      <c r="H27" s="10">
        <v>2018</v>
      </c>
      <c r="I27" s="20">
        <v>872794</v>
      </c>
      <c r="J27" s="12">
        <v>22275.416135282412</v>
      </c>
      <c r="K27" s="11">
        <f t="shared" si="6"/>
        <v>850518.58386471763</v>
      </c>
      <c r="L27" s="12">
        <f t="shared" si="7"/>
        <v>895069.41613528237</v>
      </c>
    </row>
    <row r="28" spans="1:12" x14ac:dyDescent="0.3">
      <c r="B28" s="10">
        <v>2019</v>
      </c>
      <c r="C28" s="4">
        <v>0.12747262824086508</v>
      </c>
      <c r="D28" s="4">
        <v>3.066737606289558E-3</v>
      </c>
      <c r="E28" s="13">
        <f t="shared" si="4"/>
        <v>0.12440589063457552</v>
      </c>
      <c r="F28" s="4">
        <f t="shared" si="5"/>
        <v>0.13053936584715464</v>
      </c>
      <c r="H28" s="10">
        <v>2019</v>
      </c>
      <c r="I28" s="20">
        <v>995324</v>
      </c>
      <c r="J28" s="12">
        <v>24114.253088163441</v>
      </c>
      <c r="K28" s="11">
        <f t="shared" si="6"/>
        <v>971209.74691183656</v>
      </c>
      <c r="L28" s="12">
        <f t="shared" si="7"/>
        <v>1019438.2530881634</v>
      </c>
    </row>
    <row r="29" spans="1:12" x14ac:dyDescent="0.3">
      <c r="B29" s="10"/>
      <c r="C29" s="4"/>
      <c r="D29" s="4"/>
      <c r="E29" s="13"/>
      <c r="F29" s="4"/>
      <c r="H29" s="10"/>
      <c r="I29" s="20"/>
      <c r="J29" s="12"/>
      <c r="K29" s="11"/>
      <c r="L29" s="12"/>
    </row>
    <row r="30" spans="1:12" x14ac:dyDescent="0.3">
      <c r="B30" s="1"/>
      <c r="C30" s="1" t="s">
        <v>18</v>
      </c>
      <c r="D30" s="1" t="s">
        <v>19</v>
      </c>
      <c r="E30" s="1" t="s">
        <v>20</v>
      </c>
      <c r="F30" s="1" t="s">
        <v>21</v>
      </c>
      <c r="G30" s="1"/>
      <c r="H30" s="1"/>
      <c r="I30" s="1" t="s">
        <v>22</v>
      </c>
      <c r="J30" s="1" t="s">
        <v>19</v>
      </c>
      <c r="K30" s="1" t="s">
        <v>20</v>
      </c>
      <c r="L30" s="1" t="s">
        <v>21</v>
      </c>
    </row>
    <row r="31" spans="1:12" x14ac:dyDescent="0.3">
      <c r="A31" s="1" t="s">
        <v>23</v>
      </c>
      <c r="B31" s="10">
        <v>2008</v>
      </c>
      <c r="C31" s="13">
        <f>70235/427057</f>
        <v>0.16446282346384675</v>
      </c>
      <c r="D31" s="13">
        <f>(SQRT(J31^2-(C31^2*2984^2)))/427057</f>
        <v>1.7744998885052203E-2</v>
      </c>
      <c r="E31" s="13">
        <f>C31-D31</f>
        <v>0.14671782457879454</v>
      </c>
      <c r="F31" s="4">
        <f>C31+D31</f>
        <v>0.18220782234889896</v>
      </c>
      <c r="G31" s="3"/>
      <c r="H31" s="10">
        <v>2008</v>
      </c>
      <c r="I31" s="11">
        <v>70235</v>
      </c>
      <c r="J31" s="11">
        <v>7594</v>
      </c>
      <c r="K31" s="11">
        <f>I31-J31</f>
        <v>62641</v>
      </c>
      <c r="L31" s="12">
        <f>I31+J31</f>
        <v>77829</v>
      </c>
    </row>
    <row r="32" spans="1:12" x14ac:dyDescent="0.3">
      <c r="A32" s="1"/>
      <c r="B32" s="10">
        <v>2009</v>
      </c>
      <c r="C32" s="13">
        <v>0.13900000000000001</v>
      </c>
      <c r="D32" s="13">
        <v>1.4999999999999999E-2</v>
      </c>
      <c r="E32" s="13">
        <f t="shared" ref="E32:E42" si="8">C32-D32</f>
        <v>0.12400000000000001</v>
      </c>
      <c r="F32" s="4">
        <f t="shared" ref="F32:F42" si="9">C32+D32</f>
        <v>0.15400000000000003</v>
      </c>
      <c r="G32" s="3"/>
      <c r="H32" s="10">
        <v>2009</v>
      </c>
      <c r="I32" s="11">
        <v>59855</v>
      </c>
      <c r="J32" s="11">
        <v>6511</v>
      </c>
      <c r="K32" s="11">
        <f t="shared" ref="K32:K42" si="10">I32-J32</f>
        <v>53344</v>
      </c>
      <c r="L32" s="12">
        <f t="shared" ref="L32:L42" si="11">I32+J32</f>
        <v>66366</v>
      </c>
    </row>
    <row r="33" spans="1:12" x14ac:dyDescent="0.3">
      <c r="A33" s="1"/>
      <c r="B33" s="10">
        <v>2010</v>
      </c>
      <c r="C33" s="4">
        <v>0.108</v>
      </c>
      <c r="D33" s="13">
        <v>1.2E-2</v>
      </c>
      <c r="E33" s="13">
        <f t="shared" si="8"/>
        <v>9.6000000000000002E-2</v>
      </c>
      <c r="F33" s="4">
        <f t="shared" si="9"/>
        <v>0.12</v>
      </c>
      <c r="G33" s="3"/>
      <c r="H33" s="10">
        <v>2010</v>
      </c>
      <c r="I33" s="12">
        <v>47036</v>
      </c>
      <c r="J33" s="11">
        <v>5158</v>
      </c>
      <c r="K33" s="11">
        <f t="shared" si="10"/>
        <v>41878</v>
      </c>
      <c r="L33" s="12">
        <f t="shared" si="11"/>
        <v>52194</v>
      </c>
    </row>
    <row r="34" spans="1:12" x14ac:dyDescent="0.3">
      <c r="B34" s="10">
        <v>2011</v>
      </c>
      <c r="C34" s="4">
        <v>0.107</v>
      </c>
      <c r="D34" s="4">
        <v>1.7000000000000001E-2</v>
      </c>
      <c r="E34" s="13">
        <f t="shared" si="8"/>
        <v>0.09</v>
      </c>
      <c r="F34" s="4">
        <f t="shared" si="9"/>
        <v>0.124</v>
      </c>
      <c r="H34" s="10">
        <v>2011</v>
      </c>
      <c r="I34" s="12">
        <v>47728</v>
      </c>
      <c r="J34" s="12">
        <v>7407</v>
      </c>
      <c r="K34" s="11">
        <f t="shared" si="10"/>
        <v>40321</v>
      </c>
      <c r="L34" s="12">
        <f t="shared" si="11"/>
        <v>55135</v>
      </c>
    </row>
    <row r="35" spans="1:12" x14ac:dyDescent="0.3">
      <c r="A35" s="1"/>
      <c r="B35" s="10">
        <v>2012</v>
      </c>
      <c r="C35" s="4">
        <v>9.6000000000000002E-2</v>
      </c>
      <c r="D35" s="4">
        <v>0.01</v>
      </c>
      <c r="E35" s="13">
        <f t="shared" si="8"/>
        <v>8.6000000000000007E-2</v>
      </c>
      <c r="F35" s="4">
        <f t="shared" si="9"/>
        <v>0.106</v>
      </c>
      <c r="H35" s="10">
        <v>2012</v>
      </c>
      <c r="I35" s="12">
        <v>44048</v>
      </c>
      <c r="J35" s="12">
        <v>4580</v>
      </c>
      <c r="K35" s="11">
        <f t="shared" si="10"/>
        <v>39468</v>
      </c>
      <c r="L35" s="12">
        <f t="shared" si="11"/>
        <v>48628</v>
      </c>
    </row>
    <row r="36" spans="1:12" x14ac:dyDescent="0.3">
      <c r="B36" s="10">
        <v>2013</v>
      </c>
      <c r="C36" s="4">
        <v>9.7000000000000003E-2</v>
      </c>
      <c r="D36" s="4">
        <v>1.2999999999999999E-2</v>
      </c>
      <c r="E36" s="13">
        <f t="shared" si="8"/>
        <v>8.4000000000000005E-2</v>
      </c>
      <c r="F36" s="4">
        <f t="shared" si="9"/>
        <v>0.11</v>
      </c>
      <c r="H36" s="10">
        <v>2013</v>
      </c>
      <c r="I36" s="12">
        <v>44642</v>
      </c>
      <c r="J36" s="12">
        <v>5913</v>
      </c>
      <c r="K36" s="11">
        <f t="shared" si="10"/>
        <v>38729</v>
      </c>
      <c r="L36" s="12">
        <f t="shared" si="11"/>
        <v>50555</v>
      </c>
    </row>
    <row r="37" spans="1:12" x14ac:dyDescent="0.3">
      <c r="B37" s="10">
        <v>2014</v>
      </c>
      <c r="C37" s="4">
        <v>9.8000000000000004E-2</v>
      </c>
      <c r="D37" s="4">
        <v>1.1000000000000001E-2</v>
      </c>
      <c r="E37" s="13">
        <f t="shared" si="8"/>
        <v>8.7000000000000008E-2</v>
      </c>
      <c r="F37" s="4">
        <f t="shared" si="9"/>
        <v>0.109</v>
      </c>
      <c r="H37" s="10">
        <v>2014</v>
      </c>
      <c r="I37" s="12">
        <v>46178</v>
      </c>
      <c r="J37" s="12">
        <v>5353</v>
      </c>
      <c r="K37" s="11">
        <f t="shared" si="10"/>
        <v>40825</v>
      </c>
      <c r="L37" s="12">
        <f t="shared" si="11"/>
        <v>51531</v>
      </c>
    </row>
    <row r="38" spans="1:12" x14ac:dyDescent="0.3">
      <c r="B38" s="10">
        <v>2015</v>
      </c>
      <c r="C38" s="4">
        <v>7.0000000000000007E-2</v>
      </c>
      <c r="D38" s="4">
        <v>0.01</v>
      </c>
      <c r="E38" s="13">
        <f t="shared" si="8"/>
        <v>6.0000000000000005E-2</v>
      </c>
      <c r="F38" s="4">
        <f t="shared" si="9"/>
        <v>0.08</v>
      </c>
      <c r="H38" s="10">
        <v>2015</v>
      </c>
      <c r="I38" s="20">
        <v>33426</v>
      </c>
      <c r="J38" s="12">
        <v>4716</v>
      </c>
      <c r="K38" s="11">
        <f t="shared" si="10"/>
        <v>28710</v>
      </c>
      <c r="L38" s="12">
        <f t="shared" si="11"/>
        <v>38142</v>
      </c>
    </row>
    <row r="39" spans="1:12" x14ac:dyDescent="0.3">
      <c r="B39" s="10">
        <v>2016</v>
      </c>
      <c r="C39" s="4">
        <v>7.4999999999999997E-2</v>
      </c>
      <c r="D39" s="4">
        <v>1.1000000000000001E-2</v>
      </c>
      <c r="E39" s="13">
        <f t="shared" si="8"/>
        <v>6.4000000000000001E-2</v>
      </c>
      <c r="F39" s="4">
        <f t="shared" si="9"/>
        <v>8.5999999999999993E-2</v>
      </c>
      <c r="H39" s="10">
        <v>2016</v>
      </c>
      <c r="I39" s="20">
        <v>36343</v>
      </c>
      <c r="J39" s="12">
        <v>5458</v>
      </c>
      <c r="K39" s="11">
        <f t="shared" si="10"/>
        <v>30885</v>
      </c>
      <c r="L39" s="12">
        <f t="shared" si="11"/>
        <v>41801</v>
      </c>
    </row>
    <row r="40" spans="1:12" x14ac:dyDescent="0.3">
      <c r="B40" s="10">
        <v>2017</v>
      </c>
      <c r="C40" s="4">
        <v>7.3655070978263557E-2</v>
      </c>
      <c r="D40" s="4">
        <v>1.0291610134802979E-2</v>
      </c>
      <c r="E40" s="13">
        <f t="shared" si="8"/>
        <v>6.3363460843460576E-2</v>
      </c>
      <c r="F40" s="4">
        <f t="shared" si="9"/>
        <v>8.3946681113066537E-2</v>
      </c>
      <c r="H40" s="10">
        <v>2017</v>
      </c>
      <c r="I40" s="20">
        <v>38660</v>
      </c>
      <c r="J40" s="12">
        <v>5414.4289634272609</v>
      </c>
      <c r="K40" s="11">
        <f t="shared" si="10"/>
        <v>33245.571036572743</v>
      </c>
      <c r="L40" s="12">
        <f t="shared" si="11"/>
        <v>44074.428963427257</v>
      </c>
    </row>
    <row r="41" spans="1:12" x14ac:dyDescent="0.3">
      <c r="B41" s="10">
        <v>2018</v>
      </c>
      <c r="C41" s="4">
        <v>7.9027037518386231E-2</v>
      </c>
      <c r="D41" s="4">
        <v>1.0231591566074985E-2</v>
      </c>
      <c r="E41" s="13">
        <f t="shared" si="8"/>
        <v>6.879544595231124E-2</v>
      </c>
      <c r="F41" s="4">
        <f t="shared" si="9"/>
        <v>8.9258629084461222E-2</v>
      </c>
      <c r="H41" s="10">
        <v>2018</v>
      </c>
      <c r="I41" s="20">
        <v>41531</v>
      </c>
      <c r="J41" s="12">
        <v>5389.8627997380418</v>
      </c>
      <c r="K41" s="11">
        <f t="shared" si="10"/>
        <v>36141.137200261961</v>
      </c>
      <c r="L41" s="12">
        <f t="shared" si="11"/>
        <v>46920.862799738039</v>
      </c>
    </row>
    <row r="42" spans="1:12" x14ac:dyDescent="0.3">
      <c r="B42" s="10">
        <v>2019</v>
      </c>
      <c r="C42" s="4">
        <v>0.10955002847921018</v>
      </c>
      <c r="D42" s="4">
        <v>1.3536005071837486E-2</v>
      </c>
      <c r="E42" s="13">
        <f t="shared" si="8"/>
        <v>9.6014023407372695E-2</v>
      </c>
      <c r="F42" s="4">
        <f t="shared" si="9"/>
        <v>0.12308603355104766</v>
      </c>
      <c r="H42" s="10">
        <v>2019</v>
      </c>
      <c r="I42" s="20">
        <v>58277</v>
      </c>
      <c r="J42" s="12">
        <v>7233.4186246891586</v>
      </c>
      <c r="K42" s="11">
        <f t="shared" si="10"/>
        <v>51043.581375310838</v>
      </c>
      <c r="L42" s="12">
        <f t="shared" si="11"/>
        <v>65510.418624689162</v>
      </c>
    </row>
    <row r="43" spans="1:12" x14ac:dyDescent="0.3">
      <c r="B43" s="10"/>
      <c r="C43" s="4"/>
      <c r="D43" s="4"/>
      <c r="E43" s="13"/>
      <c r="F43" s="4"/>
      <c r="H43" s="10"/>
      <c r="I43" s="20"/>
      <c r="J43" s="12"/>
      <c r="K43" s="11"/>
      <c r="L43" s="12"/>
    </row>
    <row r="44" spans="1:12" x14ac:dyDescent="0.3">
      <c r="B44" s="1"/>
      <c r="C44" s="1" t="s">
        <v>18</v>
      </c>
      <c r="D44" s="1" t="s">
        <v>19</v>
      </c>
      <c r="E44" s="1" t="s">
        <v>20</v>
      </c>
      <c r="F44" s="1" t="s">
        <v>21</v>
      </c>
      <c r="G44" s="1"/>
      <c r="H44" s="1"/>
      <c r="I44" s="1" t="s">
        <v>22</v>
      </c>
      <c r="J44" s="1" t="s">
        <v>19</v>
      </c>
      <c r="K44" s="1" t="s">
        <v>20</v>
      </c>
      <c r="L44" s="1" t="s">
        <v>21</v>
      </c>
    </row>
    <row r="45" spans="1:12" x14ac:dyDescent="0.3">
      <c r="A45" s="1" t="s">
        <v>2</v>
      </c>
      <c r="B45" s="10">
        <v>2008</v>
      </c>
      <c r="C45" s="13">
        <f>46075/251076</f>
        <v>0.18351017221877042</v>
      </c>
      <c r="D45" s="13">
        <f>(SQRT(J45^2-(C45^2*2027^2)))/251076</f>
        <v>2.3779348268404239E-2</v>
      </c>
      <c r="E45" s="13">
        <f>C45-D45</f>
        <v>0.15973082395036617</v>
      </c>
      <c r="F45" s="4">
        <f>C45+D45</f>
        <v>0.20728952048717467</v>
      </c>
      <c r="G45" s="3"/>
      <c r="H45" s="10">
        <v>2008</v>
      </c>
      <c r="I45" s="11">
        <v>46075</v>
      </c>
      <c r="J45" s="11">
        <v>5982</v>
      </c>
      <c r="K45" s="11">
        <f>I45-J45</f>
        <v>40093</v>
      </c>
      <c r="L45" s="12">
        <f>I45+J45</f>
        <v>52057</v>
      </c>
    </row>
    <row r="46" spans="1:12" x14ac:dyDescent="0.3">
      <c r="A46" s="1"/>
      <c r="B46" s="10">
        <v>2009</v>
      </c>
      <c r="C46" s="13">
        <v>0.157</v>
      </c>
      <c r="D46" s="13">
        <v>0.02</v>
      </c>
      <c r="E46" s="13">
        <f t="shared" ref="E46:E56" si="12">C46-D46</f>
        <v>0.13700000000000001</v>
      </c>
      <c r="F46" s="4">
        <f t="shared" ref="F46:F56" si="13">C46+D46</f>
        <v>0.17699999999999999</v>
      </c>
      <c r="G46" s="3"/>
      <c r="H46" s="10">
        <v>2009</v>
      </c>
      <c r="I46" s="11">
        <v>38809</v>
      </c>
      <c r="J46" s="11">
        <v>5017</v>
      </c>
      <c r="K46" s="11">
        <f t="shared" ref="K46:K56" si="14">I46-J46</f>
        <v>33792</v>
      </c>
      <c r="L46" s="12">
        <f t="shared" ref="L46:L56" si="15">I46+J46</f>
        <v>43826</v>
      </c>
    </row>
    <row r="47" spans="1:12" x14ac:dyDescent="0.3">
      <c r="A47" s="1"/>
      <c r="B47" s="10">
        <v>2010</v>
      </c>
      <c r="C47" s="4">
        <v>0.11600000000000001</v>
      </c>
      <c r="D47" s="13">
        <v>1.4E-2</v>
      </c>
      <c r="E47" s="13">
        <f t="shared" si="12"/>
        <v>0.10200000000000001</v>
      </c>
      <c r="F47" s="4">
        <f t="shared" si="13"/>
        <v>0.13</v>
      </c>
      <c r="G47" s="3"/>
      <c r="H47" s="10">
        <v>2010</v>
      </c>
      <c r="I47" s="12">
        <v>28491</v>
      </c>
      <c r="J47" s="11">
        <v>3458</v>
      </c>
      <c r="K47" s="11">
        <f t="shared" si="14"/>
        <v>25033</v>
      </c>
      <c r="L47" s="12">
        <f t="shared" si="15"/>
        <v>31949</v>
      </c>
    </row>
    <row r="48" spans="1:12" x14ac:dyDescent="0.3">
      <c r="B48" s="10">
        <v>2011</v>
      </c>
      <c r="C48" s="4">
        <v>0.106</v>
      </c>
      <c r="D48" s="4">
        <v>0.02</v>
      </c>
      <c r="E48" s="13">
        <f t="shared" si="12"/>
        <v>8.5999999999999993E-2</v>
      </c>
      <c r="F48" s="4">
        <f t="shared" si="13"/>
        <v>0.126</v>
      </c>
      <c r="H48" s="10">
        <v>2011</v>
      </c>
      <c r="I48" s="12">
        <v>26982</v>
      </c>
      <c r="J48" s="12">
        <v>4964</v>
      </c>
      <c r="K48" s="11">
        <f t="shared" si="14"/>
        <v>22018</v>
      </c>
      <c r="L48" s="12">
        <f t="shared" si="15"/>
        <v>31946</v>
      </c>
    </row>
    <row r="49" spans="1:12" x14ac:dyDescent="0.3">
      <c r="A49" s="1"/>
      <c r="B49" s="10">
        <v>2012</v>
      </c>
      <c r="C49" s="4">
        <v>9.8000000000000004E-2</v>
      </c>
      <c r="D49" s="4">
        <v>1.2999999999999999E-2</v>
      </c>
      <c r="E49" s="13">
        <f t="shared" si="12"/>
        <v>8.5000000000000006E-2</v>
      </c>
      <c r="F49" s="4">
        <f t="shared" si="13"/>
        <v>0.111</v>
      </c>
      <c r="H49" s="10">
        <v>2012</v>
      </c>
      <c r="I49" s="12">
        <v>25457</v>
      </c>
      <c r="J49" s="12">
        <v>3347</v>
      </c>
      <c r="K49" s="11">
        <f t="shared" si="14"/>
        <v>22110</v>
      </c>
      <c r="L49" s="12">
        <f t="shared" si="15"/>
        <v>28804</v>
      </c>
    </row>
    <row r="50" spans="1:12" x14ac:dyDescent="0.3">
      <c r="B50" s="10">
        <v>2013</v>
      </c>
      <c r="C50" s="4">
        <v>8.8999999999999996E-2</v>
      </c>
      <c r="D50" s="4">
        <v>1.6E-2</v>
      </c>
      <c r="E50" s="13">
        <f t="shared" si="12"/>
        <v>7.2999999999999995E-2</v>
      </c>
      <c r="F50" s="4">
        <f t="shared" si="13"/>
        <v>0.105</v>
      </c>
      <c r="H50" s="10">
        <v>2013</v>
      </c>
      <c r="I50" s="12">
        <v>23256</v>
      </c>
      <c r="J50" s="12">
        <v>4084</v>
      </c>
      <c r="K50" s="11">
        <f t="shared" si="14"/>
        <v>19172</v>
      </c>
      <c r="L50" s="12">
        <f t="shared" si="15"/>
        <v>27340</v>
      </c>
    </row>
    <row r="51" spans="1:12" x14ac:dyDescent="0.3">
      <c r="B51" s="10">
        <v>2014</v>
      </c>
      <c r="C51" s="4">
        <v>0.105</v>
      </c>
      <c r="D51" s="4">
        <v>1.3999999999999999E-2</v>
      </c>
      <c r="E51" s="13">
        <f t="shared" si="12"/>
        <v>9.0999999999999998E-2</v>
      </c>
      <c r="F51" s="4">
        <f t="shared" si="13"/>
        <v>0.11899999999999999</v>
      </c>
      <c r="H51" s="10">
        <v>2014</v>
      </c>
      <c r="I51" s="12">
        <v>27770</v>
      </c>
      <c r="J51" s="12">
        <v>3595</v>
      </c>
      <c r="K51" s="11">
        <f t="shared" si="14"/>
        <v>24175</v>
      </c>
      <c r="L51" s="12">
        <f t="shared" si="15"/>
        <v>31365</v>
      </c>
    </row>
    <row r="52" spans="1:12" x14ac:dyDescent="0.3">
      <c r="B52" s="10">
        <v>2015</v>
      </c>
      <c r="C52" s="4">
        <v>7.6999999999999999E-2</v>
      </c>
      <c r="D52" s="4">
        <v>1.4E-2</v>
      </c>
      <c r="E52" s="13">
        <f t="shared" si="12"/>
        <v>6.3E-2</v>
      </c>
      <c r="F52" s="4">
        <f t="shared" si="13"/>
        <v>9.0999999999999998E-2</v>
      </c>
      <c r="H52" s="10">
        <v>2015</v>
      </c>
      <c r="I52" s="12">
        <v>20652</v>
      </c>
      <c r="J52" s="12">
        <v>3744</v>
      </c>
      <c r="K52" s="11">
        <f t="shared" si="14"/>
        <v>16908</v>
      </c>
      <c r="L52" s="12">
        <f t="shared" si="15"/>
        <v>24396</v>
      </c>
    </row>
    <row r="53" spans="1:12" x14ac:dyDescent="0.3">
      <c r="B53" s="10">
        <v>2016</v>
      </c>
      <c r="C53" s="4">
        <v>8.2000000000000003E-2</v>
      </c>
      <c r="D53" s="4">
        <v>1.6E-2</v>
      </c>
      <c r="E53" s="13">
        <f t="shared" si="12"/>
        <v>6.6000000000000003E-2</v>
      </c>
      <c r="F53" s="4">
        <f t="shared" si="13"/>
        <v>9.8000000000000004E-2</v>
      </c>
      <c r="H53" s="10">
        <v>2016</v>
      </c>
      <c r="I53" s="20">
        <v>22010</v>
      </c>
      <c r="J53" s="12">
        <v>4303</v>
      </c>
      <c r="K53" s="11">
        <f t="shared" si="14"/>
        <v>17707</v>
      </c>
      <c r="L53" s="12">
        <f t="shared" si="15"/>
        <v>26313</v>
      </c>
    </row>
    <row r="54" spans="1:12" x14ac:dyDescent="0.3">
      <c r="B54" s="10">
        <v>2017</v>
      </c>
      <c r="C54" s="4">
        <v>7.7080980140509653E-2</v>
      </c>
      <c r="D54" s="4">
        <v>1.4175044899793182E-2</v>
      </c>
      <c r="E54" s="13">
        <f t="shared" si="12"/>
        <v>6.2905935240716471E-2</v>
      </c>
      <c r="F54" s="4">
        <f t="shared" si="13"/>
        <v>9.1256025040302835E-2</v>
      </c>
      <c r="H54" s="10">
        <v>2017</v>
      </c>
      <c r="I54" s="20">
        <v>22042</v>
      </c>
      <c r="J54" s="12">
        <v>4063.0831889096239</v>
      </c>
      <c r="K54" s="11">
        <f t="shared" si="14"/>
        <v>17978.916811090377</v>
      </c>
      <c r="L54" s="12">
        <f t="shared" si="15"/>
        <v>26105.083188909623</v>
      </c>
    </row>
    <row r="55" spans="1:12" x14ac:dyDescent="0.3">
      <c r="B55" s="10">
        <v>2018</v>
      </c>
      <c r="C55" s="4">
        <v>6.5947855835898017E-2</v>
      </c>
      <c r="D55" s="4">
        <v>1.175015928695234E-2</v>
      </c>
      <c r="E55" s="13">
        <f t="shared" si="12"/>
        <v>5.4197696548945677E-2</v>
      </c>
      <c r="F55" s="4">
        <f t="shared" si="13"/>
        <v>7.769801512285035E-2</v>
      </c>
      <c r="H55" s="10">
        <v>2018</v>
      </c>
      <c r="I55" s="20">
        <v>18814</v>
      </c>
      <c r="J55" s="12">
        <v>3358.246119628518</v>
      </c>
      <c r="K55" s="11">
        <f t="shared" si="14"/>
        <v>15455.753880371482</v>
      </c>
      <c r="L55" s="12">
        <f t="shared" si="15"/>
        <v>22172.246119628518</v>
      </c>
    </row>
    <row r="56" spans="1:12" x14ac:dyDescent="0.3">
      <c r="B56" s="10">
        <v>2019</v>
      </c>
      <c r="C56" s="4">
        <v>0.12153441138013595</v>
      </c>
      <c r="D56" s="4">
        <v>1.8988132081593532E-2</v>
      </c>
      <c r="E56" s="13">
        <f t="shared" si="12"/>
        <v>0.10254627929854242</v>
      </c>
      <c r="F56" s="4">
        <f t="shared" si="13"/>
        <v>0.14052254346172949</v>
      </c>
      <c r="H56" s="10">
        <v>2019</v>
      </c>
      <c r="I56" s="20">
        <v>34670</v>
      </c>
      <c r="J56" s="12">
        <v>5441.6271463598096</v>
      </c>
      <c r="K56" s="11">
        <f t="shared" si="14"/>
        <v>29228.37285364019</v>
      </c>
      <c r="L56" s="12">
        <f t="shared" si="15"/>
        <v>40111.62714635981</v>
      </c>
    </row>
    <row r="57" spans="1:12" x14ac:dyDescent="0.3">
      <c r="B57" s="10"/>
      <c r="C57" s="4"/>
      <c r="D57" s="4"/>
      <c r="E57" s="13"/>
      <c r="F57" s="4"/>
      <c r="H57" s="10"/>
      <c r="I57" s="20"/>
      <c r="J57" s="12"/>
      <c r="K57" s="11"/>
      <c r="L57" s="12"/>
    </row>
    <row r="58" spans="1:12" x14ac:dyDescent="0.3">
      <c r="B58" s="1"/>
      <c r="C58" s="1" t="s">
        <v>18</v>
      </c>
      <c r="D58" s="1" t="s">
        <v>19</v>
      </c>
      <c r="E58" s="1" t="s">
        <v>20</v>
      </c>
      <c r="F58" s="1" t="s">
        <v>21</v>
      </c>
      <c r="G58" s="1"/>
      <c r="H58" s="1"/>
      <c r="I58" s="1" t="s">
        <v>22</v>
      </c>
      <c r="J58" s="1" t="s">
        <v>19</v>
      </c>
      <c r="K58" s="1" t="s">
        <v>20</v>
      </c>
      <c r="L58" s="1" t="s">
        <v>21</v>
      </c>
    </row>
    <row r="59" spans="1:12" x14ac:dyDescent="0.3">
      <c r="A59" s="1" t="s">
        <v>24</v>
      </c>
      <c r="B59" s="10">
        <v>2008</v>
      </c>
      <c r="C59" s="13">
        <f>37037/180670</f>
        <v>0.20499806276636962</v>
      </c>
      <c r="D59" s="13">
        <f>(SQRT(J59^2-(C59^2*5756^2)))/180670</f>
        <v>2.772397767422102E-2</v>
      </c>
      <c r="E59" s="13">
        <f>C59-D59</f>
        <v>0.17727408509214859</v>
      </c>
      <c r="F59" s="4">
        <f>C59+D59</f>
        <v>0.23272204044059064</v>
      </c>
      <c r="G59" s="3"/>
      <c r="H59" s="10">
        <v>2008</v>
      </c>
      <c r="I59" s="11">
        <v>37037</v>
      </c>
      <c r="J59" s="11">
        <v>5146</v>
      </c>
      <c r="K59" s="11">
        <f>I59-J59</f>
        <v>31891</v>
      </c>
      <c r="L59" s="12">
        <f>I59+J59</f>
        <v>42183</v>
      </c>
    </row>
    <row r="60" spans="1:12" x14ac:dyDescent="0.3">
      <c r="A60" s="1"/>
      <c r="B60" s="10">
        <v>2009</v>
      </c>
      <c r="C60" s="13">
        <v>0.153</v>
      </c>
      <c r="D60" s="13">
        <v>2.3E-2</v>
      </c>
      <c r="E60" s="13">
        <f t="shared" ref="E60:E70" si="16">C60-D60</f>
        <v>0.13</v>
      </c>
      <c r="F60" s="4">
        <f t="shared" ref="F60:F70" si="17">C60+D60</f>
        <v>0.17599999999999999</v>
      </c>
      <c r="G60" s="3"/>
      <c r="H60" s="10">
        <v>2009</v>
      </c>
      <c r="I60" s="11">
        <v>26838</v>
      </c>
      <c r="J60" s="11">
        <v>4001</v>
      </c>
      <c r="K60" s="11">
        <f t="shared" ref="K60:K70" si="18">I60-J60</f>
        <v>22837</v>
      </c>
      <c r="L60" s="12">
        <f t="shared" ref="L60:L70" si="19">I60+J60</f>
        <v>30839</v>
      </c>
    </row>
    <row r="61" spans="1:12" x14ac:dyDescent="0.3">
      <c r="A61" s="1"/>
      <c r="B61" s="10">
        <v>2010</v>
      </c>
      <c r="C61" s="4">
        <v>0.128</v>
      </c>
      <c r="D61" s="13">
        <v>1.7999999999999999E-2</v>
      </c>
      <c r="E61" s="13">
        <f t="shared" si="16"/>
        <v>0.11</v>
      </c>
      <c r="F61" s="4">
        <f t="shared" si="17"/>
        <v>0.14599999999999999</v>
      </c>
      <c r="G61" s="3"/>
      <c r="H61" s="10">
        <v>2010</v>
      </c>
      <c r="I61" s="12">
        <v>22931</v>
      </c>
      <c r="J61" s="11">
        <v>3187</v>
      </c>
      <c r="K61" s="11">
        <f t="shared" si="18"/>
        <v>19744</v>
      </c>
      <c r="L61" s="12">
        <f t="shared" si="19"/>
        <v>26118</v>
      </c>
    </row>
    <row r="62" spans="1:12" x14ac:dyDescent="0.3">
      <c r="B62" s="10">
        <v>2011</v>
      </c>
      <c r="C62" s="4">
        <v>0.111</v>
      </c>
      <c r="D62" s="4">
        <v>2.4E-2</v>
      </c>
      <c r="E62" s="13">
        <f t="shared" si="16"/>
        <v>8.6999999999999994E-2</v>
      </c>
      <c r="F62" s="4">
        <f t="shared" si="17"/>
        <v>0.13500000000000001</v>
      </c>
      <c r="H62" s="10">
        <v>2011</v>
      </c>
      <c r="I62" s="12">
        <v>20056</v>
      </c>
      <c r="J62" s="12">
        <v>4421</v>
      </c>
      <c r="K62" s="11">
        <f t="shared" si="18"/>
        <v>15635</v>
      </c>
      <c r="L62" s="12">
        <f t="shared" si="19"/>
        <v>24477</v>
      </c>
    </row>
    <row r="63" spans="1:12" x14ac:dyDescent="0.3">
      <c r="A63" s="1"/>
      <c r="B63" s="10">
        <v>2012</v>
      </c>
      <c r="C63" s="4">
        <v>0.104</v>
      </c>
      <c r="D63" s="4">
        <v>1.4999999999999999E-2</v>
      </c>
      <c r="E63" s="13">
        <f t="shared" si="16"/>
        <v>8.8999999999999996E-2</v>
      </c>
      <c r="F63" s="4">
        <f t="shared" si="17"/>
        <v>0.11899999999999999</v>
      </c>
      <c r="H63" s="10">
        <v>2012</v>
      </c>
      <c r="I63" s="12">
        <v>18935</v>
      </c>
      <c r="J63" s="12">
        <v>2810</v>
      </c>
      <c r="K63" s="11">
        <f t="shared" si="18"/>
        <v>16125</v>
      </c>
      <c r="L63" s="12">
        <f t="shared" si="19"/>
        <v>21745</v>
      </c>
    </row>
    <row r="64" spans="1:12" x14ac:dyDescent="0.3">
      <c r="B64" s="10">
        <v>2013</v>
      </c>
      <c r="C64" s="4">
        <v>7.1999999999999995E-2</v>
      </c>
      <c r="D64" s="4">
        <v>1.4E-2</v>
      </c>
      <c r="E64" s="13">
        <f t="shared" si="16"/>
        <v>5.7999999999999996E-2</v>
      </c>
      <c r="F64" s="4">
        <f t="shared" si="17"/>
        <v>8.5999999999999993E-2</v>
      </c>
      <c r="H64" s="10">
        <v>2013</v>
      </c>
      <c r="I64" s="12">
        <v>13947</v>
      </c>
      <c r="J64" s="12">
        <v>2842</v>
      </c>
      <c r="K64" s="11">
        <f t="shared" si="18"/>
        <v>11105</v>
      </c>
      <c r="L64" s="12">
        <f t="shared" si="19"/>
        <v>16789</v>
      </c>
    </row>
    <row r="65" spans="1:12" x14ac:dyDescent="0.3">
      <c r="B65" s="10">
        <v>2014</v>
      </c>
      <c r="C65" s="4">
        <v>0.11</v>
      </c>
      <c r="D65" s="4">
        <v>1.6E-2</v>
      </c>
      <c r="E65" s="13">
        <f t="shared" si="16"/>
        <v>9.4E-2</v>
      </c>
      <c r="F65" s="4">
        <f t="shared" si="17"/>
        <v>0.126</v>
      </c>
      <c r="H65" s="10">
        <v>2014</v>
      </c>
      <c r="I65" s="12">
        <v>21558</v>
      </c>
      <c r="J65" s="12">
        <v>3237</v>
      </c>
      <c r="K65" s="11">
        <f t="shared" si="18"/>
        <v>18321</v>
      </c>
      <c r="L65" s="12">
        <f t="shared" si="19"/>
        <v>24795</v>
      </c>
    </row>
    <row r="66" spans="1:12" x14ac:dyDescent="0.3">
      <c r="B66" s="10">
        <v>2015</v>
      </c>
      <c r="C66" s="17">
        <v>8.8999999999999996E-2</v>
      </c>
      <c r="D66" s="4">
        <v>1.6E-2</v>
      </c>
      <c r="E66" s="13">
        <f t="shared" si="16"/>
        <v>7.2999999999999995E-2</v>
      </c>
      <c r="F66" s="4">
        <f t="shared" si="17"/>
        <v>0.105</v>
      </c>
      <c r="H66" s="10">
        <v>2015</v>
      </c>
      <c r="I66" s="20">
        <v>17322</v>
      </c>
      <c r="J66" s="12">
        <v>3280</v>
      </c>
      <c r="K66" s="11">
        <f t="shared" si="18"/>
        <v>14042</v>
      </c>
      <c r="L66" s="12">
        <f t="shared" si="19"/>
        <v>20602</v>
      </c>
    </row>
    <row r="67" spans="1:12" x14ac:dyDescent="0.3">
      <c r="B67" s="10">
        <v>2016</v>
      </c>
      <c r="C67" s="17">
        <v>8.4000000000000005E-2</v>
      </c>
      <c r="D67" s="4">
        <v>1.7000000000000001E-2</v>
      </c>
      <c r="E67" s="13">
        <f t="shared" si="16"/>
        <v>6.7000000000000004E-2</v>
      </c>
      <c r="F67" s="4">
        <f t="shared" si="17"/>
        <v>0.10100000000000001</v>
      </c>
      <c r="H67" s="10">
        <v>2016</v>
      </c>
      <c r="I67" s="21">
        <v>17049</v>
      </c>
      <c r="J67" s="12">
        <v>3516</v>
      </c>
      <c r="K67" s="11">
        <f t="shared" si="18"/>
        <v>13533</v>
      </c>
      <c r="L67" s="12">
        <f t="shared" si="19"/>
        <v>20565</v>
      </c>
    </row>
    <row r="68" spans="1:12" x14ac:dyDescent="0.3">
      <c r="B68" s="10">
        <v>2017</v>
      </c>
      <c r="C68" s="17">
        <v>7.6188384577842855E-2</v>
      </c>
      <c r="D68" s="4">
        <v>1.4080906154351513E-2</v>
      </c>
      <c r="E68" s="13">
        <f t="shared" si="16"/>
        <v>6.210747842349134E-2</v>
      </c>
      <c r="F68" s="4">
        <f t="shared" si="17"/>
        <v>9.0269290732194363E-2</v>
      </c>
      <c r="H68" s="10">
        <v>2017</v>
      </c>
      <c r="I68" s="21">
        <v>15611</v>
      </c>
      <c r="J68" s="12">
        <v>2916.3432582602481</v>
      </c>
      <c r="K68" s="11">
        <f t="shared" si="18"/>
        <v>12694.656741739753</v>
      </c>
      <c r="L68" s="12">
        <f t="shared" si="19"/>
        <v>18527.343258260247</v>
      </c>
    </row>
    <row r="69" spans="1:12" x14ac:dyDescent="0.3">
      <c r="B69" s="10">
        <v>2018</v>
      </c>
      <c r="C69" s="17">
        <v>7.5875814336284944E-2</v>
      </c>
      <c r="D69" s="4">
        <v>1.5316105507751657E-2</v>
      </c>
      <c r="E69" s="13">
        <f t="shared" si="16"/>
        <v>6.0559708828533287E-2</v>
      </c>
      <c r="F69" s="4">
        <f t="shared" si="17"/>
        <v>9.1191919844036601E-2</v>
      </c>
      <c r="H69" s="10">
        <v>2018</v>
      </c>
      <c r="I69" s="21">
        <v>15304</v>
      </c>
      <c r="J69" s="12">
        <v>3115.9250632837752</v>
      </c>
      <c r="K69" s="11">
        <f t="shared" si="18"/>
        <v>12188.074936716224</v>
      </c>
      <c r="L69" s="12">
        <f t="shared" si="19"/>
        <v>18419.925063283776</v>
      </c>
    </row>
    <row r="70" spans="1:12" x14ac:dyDescent="0.3">
      <c r="B70" s="10">
        <v>2019</v>
      </c>
      <c r="C70" s="17">
        <v>0.10617171016716585</v>
      </c>
      <c r="D70" s="4">
        <v>1.5705637324576239E-2</v>
      </c>
      <c r="E70" s="13">
        <f t="shared" si="16"/>
        <v>9.0466072842589618E-2</v>
      </c>
      <c r="F70" s="4">
        <f t="shared" si="17"/>
        <v>0.12187734749174209</v>
      </c>
      <c r="H70" s="10">
        <v>2019</v>
      </c>
      <c r="I70" s="21">
        <v>21588</v>
      </c>
      <c r="J70" s="12">
        <v>3261.0075130241576</v>
      </c>
      <c r="K70" s="11">
        <f t="shared" si="18"/>
        <v>18326.992486975843</v>
      </c>
      <c r="L70" s="12">
        <f t="shared" si="19"/>
        <v>24849.007513024157</v>
      </c>
    </row>
    <row r="72" spans="1:12" x14ac:dyDescent="0.3">
      <c r="A72" s="1" t="s">
        <v>5</v>
      </c>
    </row>
  </sheetData>
  <mergeCells count="1">
    <mergeCell ref="A1:J1"/>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0"/>
  <sheetViews>
    <sheetView workbookViewId="0">
      <selection activeCell="J4" sqref="J4"/>
    </sheetView>
  </sheetViews>
  <sheetFormatPr defaultColWidth="11" defaultRowHeight="15.6" x14ac:dyDescent="0.3"/>
  <sheetData>
    <row r="1" spans="1:13" x14ac:dyDescent="0.3">
      <c r="A1" t="s">
        <v>10</v>
      </c>
    </row>
    <row r="2" spans="1:13" x14ac:dyDescent="0.3">
      <c r="A2" t="s">
        <v>3</v>
      </c>
    </row>
    <row r="3" spans="1:13" x14ac:dyDescent="0.3">
      <c r="A3" t="s">
        <v>6</v>
      </c>
      <c r="B3">
        <v>2009</v>
      </c>
      <c r="C3">
        <v>2010</v>
      </c>
      <c r="D3">
        <v>2011</v>
      </c>
      <c r="E3">
        <v>2012</v>
      </c>
      <c r="F3">
        <v>2013</v>
      </c>
      <c r="G3">
        <v>2014</v>
      </c>
      <c r="H3">
        <v>2015</v>
      </c>
      <c r="I3">
        <v>2016</v>
      </c>
      <c r="J3">
        <v>2017</v>
      </c>
      <c r="K3">
        <v>2018</v>
      </c>
      <c r="L3">
        <v>2019</v>
      </c>
    </row>
    <row r="4" spans="1:13" x14ac:dyDescent="0.3">
      <c r="A4" t="s">
        <v>17</v>
      </c>
      <c r="B4" s="4">
        <f>1080/6740</f>
        <v>0.16023738872403562</v>
      </c>
      <c r="C4" s="4">
        <f>640/7516</f>
        <v>8.5151676423629585E-2</v>
      </c>
      <c r="D4" s="4">
        <f>2695/9333</f>
        <v>0.28876031286831672</v>
      </c>
      <c r="E4" s="4">
        <f>1107/7919</f>
        <v>0.13979037757292587</v>
      </c>
      <c r="F4" s="4">
        <f>78/5788</f>
        <v>1.3476157567380787E-2</v>
      </c>
      <c r="G4" s="4">
        <v>0.08</v>
      </c>
      <c r="H4" s="4">
        <v>0.05</v>
      </c>
      <c r="I4" s="4">
        <v>0.09</v>
      </c>
      <c r="J4" s="4">
        <v>0.08</v>
      </c>
      <c r="K4" s="4">
        <v>0.1073439099283521</v>
      </c>
      <c r="L4" s="4">
        <v>0</v>
      </c>
      <c r="M4" t="s">
        <v>9</v>
      </c>
    </row>
    <row r="5" spans="1:13" x14ac:dyDescent="0.3">
      <c r="A5" t="s">
        <v>11</v>
      </c>
      <c r="B5" s="4">
        <f>402/5214</f>
        <v>7.7100115074798622E-2</v>
      </c>
      <c r="C5" s="4">
        <f>426/5148</f>
        <v>8.2750582750582752E-2</v>
      </c>
      <c r="D5" s="4">
        <f>282/4126</f>
        <v>6.834706737760543E-2</v>
      </c>
      <c r="E5" s="4">
        <f>513/4248</f>
        <v>0.12076271186440678</v>
      </c>
      <c r="F5" s="4">
        <f>249/5168</f>
        <v>4.8181114551083593E-2</v>
      </c>
      <c r="G5" s="4">
        <v>0.03</v>
      </c>
      <c r="H5" s="4">
        <v>0.08</v>
      </c>
      <c r="I5" s="4">
        <v>0.08</v>
      </c>
      <c r="J5" s="4">
        <v>0.18</v>
      </c>
      <c r="K5" s="4">
        <v>3.0744974379188016E-2</v>
      </c>
      <c r="L5" s="4">
        <v>4.1983852364475202E-2</v>
      </c>
      <c r="M5" t="s">
        <v>12</v>
      </c>
    </row>
    <row r="6" spans="1:13" x14ac:dyDescent="0.3">
      <c r="A6" t="s">
        <v>13</v>
      </c>
      <c r="B6" s="4">
        <f>8720/48575</f>
        <v>0.17951621204323212</v>
      </c>
      <c r="C6" s="4">
        <f>3712/43199</f>
        <v>8.5927914998032359E-2</v>
      </c>
      <c r="D6" s="4">
        <f>3153/46061</f>
        <v>6.8452704022926122E-2</v>
      </c>
      <c r="E6" s="4">
        <f>3488/48457</f>
        <v>7.198134428462348E-2</v>
      </c>
      <c r="F6" s="4">
        <f>4537/45167</f>
        <v>0.10044944317754112</v>
      </c>
      <c r="G6" s="4">
        <v>0.13</v>
      </c>
      <c r="H6" s="4">
        <v>0.09</v>
      </c>
      <c r="I6" s="4">
        <v>0.09</v>
      </c>
      <c r="J6" s="4">
        <v>0.09</v>
      </c>
      <c r="K6" s="4">
        <v>9.8229089074176421E-2</v>
      </c>
      <c r="L6" s="4">
        <v>0.12519005346019912</v>
      </c>
      <c r="M6" t="s">
        <v>14</v>
      </c>
    </row>
    <row r="7" spans="1:13" x14ac:dyDescent="0.3">
      <c r="A7" t="s">
        <v>15</v>
      </c>
      <c r="B7" s="4">
        <f>1462/33116</f>
        <v>4.4147843942505136E-2</v>
      </c>
      <c r="C7" s="4">
        <f>1230/31939</f>
        <v>3.8510911424903725E-2</v>
      </c>
      <c r="D7" s="4">
        <f>1143/30866</f>
        <v>3.7031037387416574E-2</v>
      </c>
      <c r="E7" s="4">
        <f>1141/32133</f>
        <v>3.5508667102355833E-2</v>
      </c>
      <c r="F7" s="4">
        <f>1038/32999</f>
        <v>3.145549865147429E-2</v>
      </c>
      <c r="G7" s="4">
        <v>0.04</v>
      </c>
      <c r="H7" s="4">
        <v>0.04</v>
      </c>
      <c r="I7" s="4">
        <v>0.01</v>
      </c>
      <c r="J7" s="4">
        <v>0.02</v>
      </c>
      <c r="K7" s="4">
        <v>3.0288374342542772E-2</v>
      </c>
      <c r="L7" s="4">
        <v>7.3437517039815922E-2</v>
      </c>
      <c r="M7" t="s">
        <v>16</v>
      </c>
    </row>
    <row r="8" spans="1:13" x14ac:dyDescent="0.3">
      <c r="B8" s="4"/>
      <c r="C8" s="4"/>
      <c r="D8" s="4"/>
      <c r="E8" s="4"/>
      <c r="F8" s="4"/>
      <c r="H8" s="4"/>
      <c r="I8" s="4"/>
      <c r="K8" s="4"/>
      <c r="L8" s="4"/>
    </row>
    <row r="9" spans="1:13" x14ac:dyDescent="0.3">
      <c r="A9" t="s">
        <v>7</v>
      </c>
      <c r="B9">
        <v>2009</v>
      </c>
      <c r="C9">
        <v>2010</v>
      </c>
      <c r="D9">
        <v>2011</v>
      </c>
      <c r="E9">
        <v>2012</v>
      </c>
      <c r="F9">
        <v>2013</v>
      </c>
      <c r="G9">
        <v>2014</v>
      </c>
      <c r="H9">
        <v>2015</v>
      </c>
      <c r="I9">
        <v>2016</v>
      </c>
      <c r="J9">
        <v>2017</v>
      </c>
      <c r="K9">
        <v>2018</v>
      </c>
      <c r="L9">
        <v>2019</v>
      </c>
    </row>
    <row r="10" spans="1:13" x14ac:dyDescent="0.3">
      <c r="A10" t="s">
        <v>17</v>
      </c>
      <c r="B10" s="4">
        <f>2719/15592</f>
        <v>0.17438429964084146</v>
      </c>
      <c r="C10" s="4">
        <f>837/16718</f>
        <v>5.0065797344179923E-2</v>
      </c>
      <c r="D10" s="4">
        <f>1434/16032</f>
        <v>8.9446107784431142E-2</v>
      </c>
      <c r="E10" s="4">
        <f>930/15967</f>
        <v>5.8245130581825011E-2</v>
      </c>
      <c r="F10" s="4">
        <f>320/15125</f>
        <v>2.1157024793388431E-2</v>
      </c>
      <c r="G10" s="4">
        <v>0.03</v>
      </c>
      <c r="H10" s="4">
        <v>0.02</v>
      </c>
      <c r="I10" s="4">
        <v>0.14000000000000001</v>
      </c>
      <c r="J10" s="4">
        <v>0.01</v>
      </c>
      <c r="K10" s="4">
        <v>4.3019659818864589E-2</v>
      </c>
      <c r="L10" s="4">
        <v>6.7264000000000004E-2</v>
      </c>
    </row>
    <row r="11" spans="1:13" x14ac:dyDescent="0.3">
      <c r="A11" t="s">
        <v>11</v>
      </c>
      <c r="B11" s="4">
        <f>1023/7184</f>
        <v>0.14239977728285078</v>
      </c>
      <c r="C11" s="4">
        <f>1064/8224</f>
        <v>0.1293774319066148</v>
      </c>
      <c r="D11" s="4">
        <f>836/7178</f>
        <v>0.11646698244636389</v>
      </c>
      <c r="E11" s="4">
        <f>1099/8416</f>
        <v>0.13058460076045628</v>
      </c>
      <c r="F11" s="4">
        <f>624/8611</f>
        <v>7.2465451167111838E-2</v>
      </c>
      <c r="G11" s="4">
        <v>0.05</v>
      </c>
      <c r="H11" s="4">
        <v>0.06</v>
      </c>
      <c r="I11" s="4">
        <v>0.1</v>
      </c>
      <c r="J11" s="4">
        <v>0.05</v>
      </c>
      <c r="K11" s="4">
        <v>2.5187803800265134E-2</v>
      </c>
      <c r="L11" s="4">
        <v>8.4235453315290934E-2</v>
      </c>
    </row>
    <row r="12" spans="1:13" x14ac:dyDescent="0.3">
      <c r="A12" t="s">
        <v>13</v>
      </c>
      <c r="B12" s="4">
        <f>18476/64420</f>
        <v>0.28680533995653523</v>
      </c>
      <c r="C12" s="4">
        <f>17577/72321</f>
        <v>0.24304144024557184</v>
      </c>
      <c r="D12" s="4">
        <f>14990/74157</f>
        <v>0.20213870571894763</v>
      </c>
      <c r="E12" s="4">
        <f>13311/74571</f>
        <v>0.17850102586796476</v>
      </c>
      <c r="F12" s="4">
        <f>13016/77872</f>
        <v>0.16714608588452845</v>
      </c>
      <c r="G12" s="4">
        <v>0.19</v>
      </c>
      <c r="H12" s="4">
        <v>0.13</v>
      </c>
      <c r="I12" s="4">
        <v>0.15</v>
      </c>
      <c r="J12" s="4">
        <v>0.14000000000000001</v>
      </c>
      <c r="K12" s="4">
        <v>0.10990187529663682</v>
      </c>
      <c r="L12" s="4">
        <v>0.23984787142681879</v>
      </c>
    </row>
    <row r="13" spans="1:13" x14ac:dyDescent="0.3">
      <c r="A13" t="s">
        <v>15</v>
      </c>
      <c r="B13" s="4">
        <f>4276/59983</f>
        <v>7.1286864611639966E-2</v>
      </c>
      <c r="C13" s="4">
        <f>2960/55952</f>
        <v>5.2902487846725764E-2</v>
      </c>
      <c r="D13" s="4">
        <f>2182/59102</f>
        <v>3.6919224391729552E-2</v>
      </c>
      <c r="E13" s="4">
        <f>3731/59989</f>
        <v>6.2194735701545281E-2</v>
      </c>
      <c r="F13" s="4">
        <f>3379/59482</f>
        <v>5.6807101307958713E-2</v>
      </c>
      <c r="G13" s="4">
        <v>0.05</v>
      </c>
      <c r="H13" s="4">
        <v>0.03</v>
      </c>
      <c r="I13" s="4">
        <v>0.03</v>
      </c>
      <c r="J13" s="4">
        <v>0.03</v>
      </c>
      <c r="K13" s="4">
        <v>2.2203061004526837E-2</v>
      </c>
      <c r="L13" s="4">
        <v>5.678723092692927E-2</v>
      </c>
    </row>
    <row r="14" spans="1:13" x14ac:dyDescent="0.3">
      <c r="B14" s="4"/>
      <c r="C14" s="4"/>
      <c r="D14" s="4"/>
      <c r="E14" s="4"/>
      <c r="F14" s="4"/>
      <c r="H14" s="4"/>
      <c r="I14" s="4"/>
      <c r="K14" s="4"/>
      <c r="L14" s="4"/>
    </row>
    <row r="15" spans="1:13" x14ac:dyDescent="0.3">
      <c r="A15" s="5" t="s">
        <v>8</v>
      </c>
      <c r="B15" s="5">
        <v>2009</v>
      </c>
      <c r="C15" s="5">
        <v>2010</v>
      </c>
      <c r="D15" s="5">
        <v>2011</v>
      </c>
      <c r="E15" s="5">
        <v>2012</v>
      </c>
      <c r="F15" s="5">
        <v>2013</v>
      </c>
      <c r="G15" s="5">
        <v>2014</v>
      </c>
      <c r="H15" s="5">
        <v>2015</v>
      </c>
      <c r="I15" s="5">
        <v>2016</v>
      </c>
      <c r="J15" s="5">
        <v>2017</v>
      </c>
      <c r="K15" s="5">
        <v>2018</v>
      </c>
      <c r="L15" s="5">
        <v>2019</v>
      </c>
    </row>
    <row r="16" spans="1:13" x14ac:dyDescent="0.3">
      <c r="A16" t="s">
        <v>17</v>
      </c>
      <c r="B16" s="7">
        <f>(1080+2719)/(6740+15592)</f>
        <v>0.17011463370947519</v>
      </c>
      <c r="C16" s="7">
        <f>(640+837)/(7516+16718)</f>
        <v>6.0947429231658003E-2</v>
      </c>
      <c r="D16" s="7">
        <f>(2695+1434)/(9333+16032)</f>
        <v>0.16278336290163611</v>
      </c>
      <c r="E16" s="7">
        <f>(1107+930)/(7919+15967)</f>
        <v>8.5280080381813617E-2</v>
      </c>
      <c r="F16" s="6">
        <f>(78+320)/(5788+15125)</f>
        <v>1.9031224597140534E-2</v>
      </c>
      <c r="G16" s="4">
        <v>0.04</v>
      </c>
      <c r="H16" s="7">
        <v>0.03</v>
      </c>
      <c r="I16" s="6">
        <v>0.12</v>
      </c>
      <c r="J16" s="4">
        <v>0.03</v>
      </c>
      <c r="K16" s="7">
        <v>6.2413207838296562E-2</v>
      </c>
      <c r="L16" s="6">
        <v>4.6790134449292135E-2</v>
      </c>
    </row>
    <row r="17" spans="1:12" x14ac:dyDescent="0.3">
      <c r="A17" t="s">
        <v>11</v>
      </c>
      <c r="B17" s="4">
        <f>(402+1023)/(5214+7184)</f>
        <v>0.11493789320858203</v>
      </c>
      <c r="C17" s="4">
        <f>(426+1064)/(5148+8224)</f>
        <v>0.11142686209991026</v>
      </c>
      <c r="D17" s="4">
        <f>(282+836)/(4126+7178)</f>
        <v>9.8903043170559091E-2</v>
      </c>
      <c r="E17" s="4">
        <f>(513+1099)/(4248+8416)</f>
        <v>0.12728995578016425</v>
      </c>
      <c r="F17" s="4">
        <f>(249+624)/(5168+8611)</f>
        <v>6.3357282821685179E-2</v>
      </c>
      <c r="G17" s="4">
        <v>0.05</v>
      </c>
      <c r="H17" s="4">
        <v>7.0000000000000007E-2</v>
      </c>
      <c r="I17" s="4">
        <v>0.09</v>
      </c>
      <c r="J17" s="4">
        <v>0.09</v>
      </c>
      <c r="K17" s="4">
        <v>2.6908292147171883E-2</v>
      </c>
      <c r="L17" s="4">
        <v>7.2900550776656969E-2</v>
      </c>
    </row>
    <row r="18" spans="1:12" x14ac:dyDescent="0.3">
      <c r="A18" t="s">
        <v>13</v>
      </c>
      <c r="B18" s="4">
        <f>(8720+18476)/(48575+64420)</f>
        <v>0.24068321607150758</v>
      </c>
      <c r="C18" s="4">
        <f>(3712+17577)/(43199+72321)</f>
        <v>0.18428843490304708</v>
      </c>
      <c r="D18" s="4">
        <f>(3153+14990)/(46061+74157)</f>
        <v>0.15091749987522668</v>
      </c>
      <c r="E18" s="4">
        <f>(3488+13311)/(48457+74571)</f>
        <v>0.13654615209545795</v>
      </c>
      <c r="F18" s="4">
        <f>(4537+13016)/(45167+77872)</f>
        <v>0.14266208275424866</v>
      </c>
      <c r="G18" s="4">
        <v>0.17</v>
      </c>
      <c r="H18" s="4">
        <v>0.12</v>
      </c>
      <c r="I18" s="4">
        <v>0.12</v>
      </c>
      <c r="J18" s="4">
        <v>0.12</v>
      </c>
      <c r="K18" s="4">
        <v>0.10622768802565499</v>
      </c>
      <c r="L18" s="4">
        <v>0.2040034038899409</v>
      </c>
    </row>
    <row r="19" spans="1:12" x14ac:dyDescent="0.3">
      <c r="A19" t="s">
        <v>15</v>
      </c>
      <c r="B19" s="4">
        <f>(1462+4276)/(33116+59983)</f>
        <v>6.1633315073201647E-2</v>
      </c>
      <c r="C19" s="4">
        <f>(1230+2960)/(31939+55952)</f>
        <v>4.767268548543082E-2</v>
      </c>
      <c r="D19" s="4">
        <f>(1143+2182)/(30866+59102)</f>
        <v>3.695758491908234E-2</v>
      </c>
      <c r="E19" s="4">
        <f>(1141+3731)/(32133+59989)</f>
        <v>5.2886389787455766E-2</v>
      </c>
      <c r="F19" s="4">
        <f>(1038+3379)/(32999+59482)</f>
        <v>4.7761161752143684E-2</v>
      </c>
      <c r="G19" s="4">
        <v>0.05</v>
      </c>
      <c r="H19" s="4">
        <v>0.03</v>
      </c>
      <c r="I19" s="4">
        <v>0.03</v>
      </c>
      <c r="J19" s="4">
        <v>0.03</v>
      </c>
      <c r="K19" s="4">
        <v>2.4808361011814897E-2</v>
      </c>
      <c r="L19" s="4">
        <v>4.8875231910946199E-2</v>
      </c>
    </row>
    <row r="20" spans="1:12" x14ac:dyDescent="0.3">
      <c r="A20" t="s">
        <v>2</v>
      </c>
      <c r="B20" s="6">
        <v>0.157</v>
      </c>
      <c r="C20" s="6">
        <v>0.11600000000000001</v>
      </c>
      <c r="D20" s="6">
        <v>0.106</v>
      </c>
      <c r="E20" s="6">
        <v>9.8000000000000004E-2</v>
      </c>
      <c r="F20" s="6">
        <v>8.8999999999999996E-2</v>
      </c>
      <c r="G20" s="22">
        <v>0.105</v>
      </c>
      <c r="H20" s="6">
        <v>7.6999999999999999E-2</v>
      </c>
      <c r="I20" s="6">
        <v>8.2000000000000003E-2</v>
      </c>
      <c r="J20" s="22">
        <v>7.7080980140509653E-2</v>
      </c>
      <c r="K20" s="6">
        <v>6.5947855835898017E-2</v>
      </c>
      <c r="L20" s="6">
        <v>0.12153441138013595</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5:V114"/>
  <sheetViews>
    <sheetView zoomScale="40" zoomScaleNormal="40" workbookViewId="0">
      <selection activeCell="AA34" sqref="AA34"/>
    </sheetView>
  </sheetViews>
  <sheetFormatPr defaultColWidth="11" defaultRowHeight="15.6" x14ac:dyDescent="0.3"/>
  <cols>
    <col min="1" max="1" width="38.19921875" customWidth="1"/>
    <col min="2" max="7" width="11" customWidth="1"/>
    <col min="8" max="8" width="24.19921875" customWidth="1"/>
    <col min="9" max="9" width="6.8984375" customWidth="1"/>
    <col min="15" max="15" width="12.3984375" bestFit="1" customWidth="1"/>
  </cols>
  <sheetData>
    <row r="5" spans="1:21" x14ac:dyDescent="0.3">
      <c r="A5" s="52" t="s">
        <v>29</v>
      </c>
      <c r="B5" s="52"/>
      <c r="C5" s="52"/>
      <c r="D5" s="52"/>
      <c r="E5" s="23"/>
      <c r="F5" s="23"/>
      <c r="G5" s="23"/>
      <c r="H5" s="23"/>
    </row>
    <row r="6" spans="1:21" x14ac:dyDescent="0.3">
      <c r="A6" s="52" t="s">
        <v>30</v>
      </c>
      <c r="B6" s="52"/>
      <c r="C6" s="52"/>
      <c r="D6" s="52"/>
      <c r="E6" s="23"/>
      <c r="F6" s="23"/>
      <c r="G6" s="23"/>
      <c r="H6" s="23"/>
    </row>
    <row r="7" spans="1:21" x14ac:dyDescent="0.3">
      <c r="A7" s="23" t="s">
        <v>31</v>
      </c>
      <c r="B7" s="52" t="s">
        <v>32</v>
      </c>
      <c r="C7" s="52"/>
      <c r="D7" s="52"/>
      <c r="E7" s="52"/>
      <c r="F7" s="23"/>
      <c r="G7" s="23"/>
      <c r="H7" s="23"/>
    </row>
    <row r="8" spans="1:21" x14ac:dyDescent="0.3">
      <c r="A8" s="23"/>
      <c r="B8" s="52"/>
      <c r="C8" s="52"/>
      <c r="D8" s="52"/>
      <c r="E8" s="52"/>
      <c r="F8" s="23"/>
      <c r="G8" s="23"/>
      <c r="H8" s="23"/>
    </row>
    <row r="9" spans="1:21" x14ac:dyDescent="0.3">
      <c r="A9" s="23" t="s">
        <v>31</v>
      </c>
      <c r="B9" s="52" t="s">
        <v>33</v>
      </c>
      <c r="C9" s="52"/>
      <c r="D9" s="52"/>
      <c r="E9" s="52"/>
      <c r="F9" s="23"/>
      <c r="G9" s="23"/>
      <c r="H9" s="23"/>
    </row>
    <row r="10" spans="1:21" x14ac:dyDescent="0.3">
      <c r="A10" s="23"/>
      <c r="B10" s="52"/>
      <c r="C10" s="52"/>
      <c r="D10" s="52"/>
      <c r="E10" s="52"/>
      <c r="F10" s="23"/>
      <c r="G10" s="23"/>
      <c r="H10" s="23"/>
    </row>
    <row r="11" spans="1:21" x14ac:dyDescent="0.3">
      <c r="A11" s="23"/>
      <c r="B11" s="23"/>
      <c r="C11" s="23"/>
      <c r="D11" s="23"/>
      <c r="E11" s="23"/>
      <c r="F11" s="23"/>
      <c r="G11" s="23"/>
      <c r="H11" s="23"/>
    </row>
    <row r="12" spans="1:21" x14ac:dyDescent="0.3">
      <c r="A12" s="23"/>
      <c r="B12" s="23"/>
      <c r="C12" s="23"/>
      <c r="D12" s="53" t="s">
        <v>34</v>
      </c>
      <c r="E12" s="53"/>
      <c r="F12" s="53"/>
      <c r="G12" s="41" t="s">
        <v>35</v>
      </c>
      <c r="H12" s="41"/>
      <c r="I12" s="41"/>
      <c r="J12" s="41"/>
      <c r="K12" s="40"/>
      <c r="L12" s="44" t="s">
        <v>36</v>
      </c>
      <c r="M12" s="44"/>
      <c r="N12" s="51" t="s">
        <v>37</v>
      </c>
      <c r="O12" s="51"/>
    </row>
    <row r="13" spans="1:21" ht="15.6" customHeight="1" x14ac:dyDescent="0.3">
      <c r="A13" s="50" t="s">
        <v>31</v>
      </c>
      <c r="B13" s="50"/>
      <c r="C13" s="50"/>
      <c r="D13" s="43" t="s">
        <v>38</v>
      </c>
      <c r="E13" s="43"/>
      <c r="F13" s="43"/>
      <c r="G13" s="43"/>
      <c r="H13" s="43" t="s">
        <v>38</v>
      </c>
      <c r="I13" s="43"/>
      <c r="J13" s="43"/>
      <c r="K13" s="43"/>
      <c r="L13" s="27" t="s">
        <v>38</v>
      </c>
      <c r="M13" s="27"/>
      <c r="N13" s="27" t="s">
        <v>38</v>
      </c>
      <c r="O13" s="27"/>
    </row>
    <row r="14" spans="1:21" ht="26.4" x14ac:dyDescent="0.3">
      <c r="A14" s="24"/>
      <c r="B14" s="25"/>
      <c r="C14" s="26"/>
      <c r="D14" s="43" t="s">
        <v>39</v>
      </c>
      <c r="E14" s="43"/>
      <c r="F14" s="43"/>
      <c r="G14" s="27" t="s">
        <v>19</v>
      </c>
      <c r="H14" s="43" t="s">
        <v>39</v>
      </c>
      <c r="I14" s="43"/>
      <c r="J14" s="43"/>
      <c r="K14" s="27" t="s">
        <v>19</v>
      </c>
      <c r="L14" s="27" t="s">
        <v>39</v>
      </c>
      <c r="M14" s="27" t="s">
        <v>19</v>
      </c>
      <c r="N14" s="27" t="s">
        <v>39</v>
      </c>
      <c r="O14" s="27" t="s">
        <v>19</v>
      </c>
      <c r="R14" t="s">
        <v>34</v>
      </c>
      <c r="S14" t="s">
        <v>35</v>
      </c>
      <c r="T14" t="s">
        <v>36</v>
      </c>
      <c r="U14" t="s">
        <v>37</v>
      </c>
    </row>
    <row r="15" spans="1:21" x14ac:dyDescent="0.3">
      <c r="A15" s="43" t="s">
        <v>40</v>
      </c>
      <c r="B15" s="43"/>
      <c r="C15" s="43"/>
      <c r="D15" s="45">
        <v>82817</v>
      </c>
      <c r="E15" s="43"/>
      <c r="F15" s="43"/>
      <c r="G15" s="28">
        <v>2709</v>
      </c>
      <c r="H15" s="45">
        <v>99739</v>
      </c>
      <c r="I15" s="43"/>
      <c r="J15" s="43"/>
      <c r="K15" s="28">
        <v>4359</v>
      </c>
      <c r="L15" s="28">
        <v>414115</v>
      </c>
      <c r="M15" s="27">
        <v>760</v>
      </c>
      <c r="N15" s="28">
        <v>594888</v>
      </c>
      <c r="O15" s="28">
        <v>1825</v>
      </c>
      <c r="Q15" t="s">
        <v>41</v>
      </c>
      <c r="R15">
        <f>D18+D21+D24+D27+D30+D33+D36</f>
        <v>6563</v>
      </c>
      <c r="S15">
        <f>H18+H21+H24+H27+H30+H33+H36</f>
        <v>9761</v>
      </c>
      <c r="T15" s="21">
        <f>L18+L21+L24+L27+L30+L33+L36</f>
        <v>91644</v>
      </c>
      <c r="U15">
        <f>N18+N21+N24+N27+N30+N33+N36</f>
        <v>35729</v>
      </c>
    </row>
    <row r="16" spans="1:21" x14ac:dyDescent="0.3">
      <c r="A16" s="43" t="s">
        <v>42</v>
      </c>
      <c r="B16" s="43"/>
      <c r="C16" s="43"/>
      <c r="D16" s="45">
        <v>5180</v>
      </c>
      <c r="E16" s="43"/>
      <c r="F16" s="43"/>
      <c r="G16" s="27">
        <v>680</v>
      </c>
      <c r="H16" s="45">
        <v>7448</v>
      </c>
      <c r="I16" s="43"/>
      <c r="J16" s="43"/>
      <c r="K16" s="28">
        <v>1991</v>
      </c>
      <c r="L16" s="28">
        <v>43015</v>
      </c>
      <c r="M16" s="28">
        <v>1351</v>
      </c>
      <c r="N16" s="28">
        <v>33318</v>
      </c>
      <c r="O16" s="28">
        <v>1279</v>
      </c>
      <c r="Q16" t="s">
        <v>43</v>
      </c>
      <c r="R16">
        <f>D16+D19+D22+D25+D28+D31+D34</f>
        <v>77145</v>
      </c>
      <c r="S16">
        <f>H16+H19+H22+H25+H28+H31+H34</f>
        <v>90658</v>
      </c>
      <c r="T16">
        <f>L16+L19+L22+L25+L28+L31+L34</f>
        <v>393681</v>
      </c>
      <c r="U16">
        <f>N16+N19+N22+N25+N28+N31+N34</f>
        <v>516721</v>
      </c>
    </row>
    <row r="17" spans="1:22" x14ac:dyDescent="0.3">
      <c r="A17" s="43" t="s">
        <v>44</v>
      </c>
      <c r="B17" s="43"/>
      <c r="C17" s="43"/>
      <c r="D17" s="45">
        <v>4776</v>
      </c>
      <c r="E17" s="43"/>
      <c r="F17" s="43"/>
      <c r="G17" s="27">
        <v>678</v>
      </c>
      <c r="H17" s="45">
        <v>6128</v>
      </c>
      <c r="I17" s="43"/>
      <c r="J17" s="43"/>
      <c r="K17" s="28">
        <v>1996</v>
      </c>
      <c r="L17" s="28">
        <v>39202</v>
      </c>
      <c r="M17" s="28">
        <v>2153</v>
      </c>
      <c r="N17" s="28">
        <v>32540</v>
      </c>
      <c r="O17" s="28">
        <v>1443</v>
      </c>
      <c r="Q17" t="s">
        <v>45</v>
      </c>
      <c r="R17" s="29">
        <f>R15/R16</f>
        <v>8.5073562771404501E-2</v>
      </c>
      <c r="S17" s="29">
        <f>S15/S16</f>
        <v>0.10766838006574157</v>
      </c>
      <c r="T17" s="29">
        <f>T15/T16</f>
        <v>0.23278745989773447</v>
      </c>
      <c r="U17" s="29">
        <f>U15/U16</f>
        <v>6.9145631781948089E-2</v>
      </c>
    </row>
    <row r="18" spans="1:22" x14ac:dyDescent="0.3">
      <c r="A18" s="43" t="s">
        <v>46</v>
      </c>
      <c r="B18" s="43"/>
      <c r="C18" s="43"/>
      <c r="D18" s="43">
        <v>404</v>
      </c>
      <c r="E18" s="43"/>
      <c r="F18" s="43"/>
      <c r="G18" s="27">
        <v>309</v>
      </c>
      <c r="H18" s="45">
        <v>1320</v>
      </c>
      <c r="I18" s="43"/>
      <c r="J18" s="43"/>
      <c r="K18" s="27">
        <v>983</v>
      </c>
      <c r="L18" s="28">
        <v>3813</v>
      </c>
      <c r="M18" s="28">
        <v>1736</v>
      </c>
      <c r="N18" s="27">
        <v>778</v>
      </c>
      <c r="O18" s="27">
        <v>483</v>
      </c>
      <c r="Q18" t="s">
        <v>47</v>
      </c>
      <c r="R18">
        <f>SQRT(SUMSQ(G18,G21,G24,G27,G30,G33,G36))</f>
        <v>1466.3492080674371</v>
      </c>
      <c r="S18">
        <f>SQRT(SUMSQ(K18,K21,K24,K27,K30,K33,K36))</f>
        <v>2290.2375422649939</v>
      </c>
      <c r="T18">
        <f>SQRT(SUMSQ(M18,M21,M24,M27,M30,M33,M36))</f>
        <v>6813.382419914502</v>
      </c>
      <c r="U18">
        <f>SQRT(SUMSQ(O18,O21,O24,O27,O30,O33,O36))</f>
        <v>3633.466939439521</v>
      </c>
    </row>
    <row r="19" spans="1:22" x14ac:dyDescent="0.3">
      <c r="A19" s="43" t="s">
        <v>48</v>
      </c>
      <c r="B19" s="43"/>
      <c r="C19" s="43"/>
      <c r="D19" s="45">
        <v>11675</v>
      </c>
      <c r="E19" s="43"/>
      <c r="F19" s="43"/>
      <c r="G19" s="28">
        <v>1466</v>
      </c>
      <c r="H19" s="45">
        <v>16051</v>
      </c>
      <c r="I19" s="43"/>
      <c r="J19" s="43"/>
      <c r="K19" s="28">
        <v>2135</v>
      </c>
      <c r="L19" s="28">
        <v>90473</v>
      </c>
      <c r="M19" s="28">
        <v>1696</v>
      </c>
      <c r="N19" s="28">
        <v>67934</v>
      </c>
      <c r="O19" s="28">
        <v>1562</v>
      </c>
      <c r="Q19" t="s">
        <v>49</v>
      </c>
      <c r="R19">
        <f>SQRT(SUMSQ(G16,G19,G22,G25,G28,G31,G34))</f>
        <v>2449.7318220572633</v>
      </c>
      <c r="S19">
        <f>SQRT(SUMSQ(K16,K19,K22,K25,K28,K31,K34))</f>
        <v>3905.122277214889</v>
      </c>
      <c r="T19">
        <f>SQRT(SUMSQ(M16,M19,M22,M25,M28,M31,M34))</f>
        <v>3517.8769165506628</v>
      </c>
      <c r="U19">
        <f>SQRT(SUMSQ(O16,O19,O22,O25,O28,O31,O34))</f>
        <v>3628.3668502509499</v>
      </c>
    </row>
    <row r="20" spans="1:22" x14ac:dyDescent="0.3">
      <c r="A20" s="43" t="s">
        <v>44</v>
      </c>
      <c r="B20" s="43"/>
      <c r="C20" s="43"/>
      <c r="D20" s="45">
        <v>11501</v>
      </c>
      <c r="E20" s="43"/>
      <c r="F20" s="43"/>
      <c r="G20" s="28">
        <v>1490</v>
      </c>
      <c r="H20" s="45">
        <v>15239</v>
      </c>
      <c r="I20" s="43"/>
      <c r="J20" s="43"/>
      <c r="K20" s="28">
        <v>2161</v>
      </c>
      <c r="L20" s="28">
        <v>78016</v>
      </c>
      <c r="M20" s="28">
        <v>3448</v>
      </c>
      <c r="N20" s="28">
        <v>65988</v>
      </c>
      <c r="O20" s="28">
        <v>1645</v>
      </c>
      <c r="Q20" t="s">
        <v>50</v>
      </c>
      <c r="R20" s="29">
        <f>(SQRT(R18^2-(R17^2*R19^2)))/R16</f>
        <v>1.8814745219706823E-2</v>
      </c>
      <c r="S20" s="29">
        <f>(SQRT(S18^2-(S17^2*S19^2)))/S16</f>
        <v>2.4833013918332588E-2</v>
      </c>
      <c r="T20" s="29">
        <f>(SQRT(T18^2-(T17^2*T19^2)))/T16</f>
        <v>1.7181396858835657E-2</v>
      </c>
      <c r="U20" s="29">
        <f>(SQRT(U18^2-(U17^2*U19^2)))/U16</f>
        <v>7.0149944358968066E-3</v>
      </c>
    </row>
    <row r="21" spans="1:22" x14ac:dyDescent="0.3">
      <c r="A21" s="43" t="s">
        <v>46</v>
      </c>
      <c r="B21" s="43"/>
      <c r="C21" s="43"/>
      <c r="D21" s="43">
        <v>174</v>
      </c>
      <c r="E21" s="43"/>
      <c r="F21" s="43"/>
      <c r="G21" s="27">
        <v>165</v>
      </c>
      <c r="H21" s="43">
        <v>812</v>
      </c>
      <c r="I21" s="43"/>
      <c r="J21" s="43"/>
      <c r="K21" s="27">
        <v>632</v>
      </c>
      <c r="L21" s="28">
        <v>12457</v>
      </c>
      <c r="M21" s="28">
        <v>3227</v>
      </c>
      <c r="N21" s="28">
        <v>1946</v>
      </c>
      <c r="O21" s="27">
        <v>759</v>
      </c>
      <c r="Q21" t="s">
        <v>21</v>
      </c>
      <c r="R21" s="29">
        <f>R17+R20</f>
        <v>0.10388830799111132</v>
      </c>
      <c r="S21" s="29">
        <f>S17+S20</f>
        <v>0.13250139398407415</v>
      </c>
      <c r="T21" s="29">
        <f>T17+T20</f>
        <v>0.24996885675657013</v>
      </c>
      <c r="U21" s="29">
        <f>U17+U20</f>
        <v>7.616062621784489E-2</v>
      </c>
    </row>
    <row r="22" spans="1:22" x14ac:dyDescent="0.3">
      <c r="A22" s="43" t="s">
        <v>51</v>
      </c>
      <c r="B22" s="43"/>
      <c r="C22" s="43"/>
      <c r="D22" s="45">
        <v>11276</v>
      </c>
      <c r="E22" s="43"/>
      <c r="F22" s="43"/>
      <c r="G22" s="27">
        <v>987</v>
      </c>
      <c r="H22" s="45">
        <v>11673</v>
      </c>
      <c r="I22" s="43"/>
      <c r="J22" s="43"/>
      <c r="K22" s="28">
        <v>1434</v>
      </c>
      <c r="L22" s="28">
        <v>46779</v>
      </c>
      <c r="M22" s="28">
        <v>2082</v>
      </c>
      <c r="N22" s="28">
        <v>50577</v>
      </c>
      <c r="O22" s="28">
        <v>2302</v>
      </c>
      <c r="Q22" t="s">
        <v>20</v>
      </c>
      <c r="R22" s="29">
        <f>R17-R20</f>
        <v>6.6258817551697685E-2</v>
      </c>
      <c r="S22" s="29">
        <f>S17-S20</f>
        <v>8.2835366147408981E-2</v>
      </c>
      <c r="T22" s="29">
        <f>T17-T20</f>
        <v>0.21560606303889882</v>
      </c>
      <c r="U22" s="29">
        <f>U17-U20</f>
        <v>6.213063734605128E-2</v>
      </c>
    </row>
    <row r="23" spans="1:22" x14ac:dyDescent="0.3">
      <c r="A23" s="43" t="s">
        <v>44</v>
      </c>
      <c r="B23" s="43"/>
      <c r="C23" s="43"/>
      <c r="D23" s="45">
        <v>9820</v>
      </c>
      <c r="E23" s="43"/>
      <c r="F23" s="43"/>
      <c r="G23" s="27">
        <v>974</v>
      </c>
      <c r="H23" s="45">
        <v>10389</v>
      </c>
      <c r="I23" s="43"/>
      <c r="J23" s="43"/>
      <c r="K23" s="28">
        <v>1287</v>
      </c>
      <c r="L23" s="28">
        <v>32287</v>
      </c>
      <c r="M23" s="28">
        <v>2895</v>
      </c>
      <c r="N23" s="28">
        <v>45383</v>
      </c>
      <c r="O23" s="28">
        <v>2400</v>
      </c>
    </row>
    <row r="24" spans="1:22" x14ac:dyDescent="0.3">
      <c r="A24" s="43" t="s">
        <v>46</v>
      </c>
      <c r="B24" s="43"/>
      <c r="C24" s="43"/>
      <c r="D24" s="45">
        <v>1456</v>
      </c>
      <c r="E24" s="43"/>
      <c r="F24" s="43"/>
      <c r="G24" s="27">
        <v>641</v>
      </c>
      <c r="H24" s="45">
        <v>1284</v>
      </c>
      <c r="I24" s="43"/>
      <c r="J24" s="43"/>
      <c r="K24" s="27">
        <v>731</v>
      </c>
      <c r="L24" s="28">
        <v>14492</v>
      </c>
      <c r="M24" s="28">
        <v>2845</v>
      </c>
      <c r="N24" s="28">
        <v>5194</v>
      </c>
      <c r="O24" s="28">
        <v>1543</v>
      </c>
      <c r="Q24" s="49" t="s">
        <v>52</v>
      </c>
      <c r="R24" s="49"/>
      <c r="S24" s="49"/>
      <c r="T24" s="49"/>
      <c r="U24" s="49"/>
      <c r="V24" s="49"/>
    </row>
    <row r="25" spans="1:22" x14ac:dyDescent="0.3">
      <c r="A25" s="43" t="s">
        <v>53</v>
      </c>
      <c r="B25" s="43"/>
      <c r="C25" s="43"/>
      <c r="D25" s="45">
        <v>17582</v>
      </c>
      <c r="E25" s="43"/>
      <c r="F25" s="43"/>
      <c r="G25" s="28">
        <v>1143</v>
      </c>
      <c r="H25" s="45">
        <v>16621</v>
      </c>
      <c r="I25" s="43"/>
      <c r="J25" s="43"/>
      <c r="K25" s="28">
        <v>1484</v>
      </c>
      <c r="L25" s="28">
        <v>72373</v>
      </c>
      <c r="M25" s="28">
        <v>1756</v>
      </c>
      <c r="N25" s="28">
        <v>107277</v>
      </c>
      <c r="O25" s="28">
        <v>1850</v>
      </c>
      <c r="Q25" s="49"/>
      <c r="R25" s="49"/>
      <c r="S25" s="49"/>
      <c r="T25" s="49"/>
      <c r="U25" s="49"/>
      <c r="V25" s="49"/>
    </row>
    <row r="26" spans="1:22" x14ac:dyDescent="0.3">
      <c r="A26" s="43" t="s">
        <v>44</v>
      </c>
      <c r="B26" s="43"/>
      <c r="C26" s="43"/>
      <c r="D26" s="45">
        <v>15456</v>
      </c>
      <c r="E26" s="43"/>
      <c r="F26" s="43"/>
      <c r="G26" s="28">
        <v>1415</v>
      </c>
      <c r="H26" s="45">
        <v>14334</v>
      </c>
      <c r="I26" s="43"/>
      <c r="J26" s="43"/>
      <c r="K26" s="28">
        <v>1750</v>
      </c>
      <c r="L26" s="28">
        <v>49006</v>
      </c>
      <c r="M26" s="28">
        <v>3514</v>
      </c>
      <c r="N26" s="28">
        <v>95748</v>
      </c>
      <c r="O26" s="28">
        <v>2553</v>
      </c>
      <c r="Q26" s="49"/>
      <c r="R26" s="49"/>
      <c r="S26" s="49"/>
      <c r="T26" s="49"/>
      <c r="U26" s="49"/>
      <c r="V26" s="49"/>
    </row>
    <row r="27" spans="1:22" x14ac:dyDescent="0.3">
      <c r="A27" s="43" t="s">
        <v>46</v>
      </c>
      <c r="B27" s="43"/>
      <c r="C27" s="43"/>
      <c r="D27" s="45">
        <v>2126</v>
      </c>
      <c r="E27" s="43"/>
      <c r="F27" s="43"/>
      <c r="G27" s="27">
        <v>952</v>
      </c>
      <c r="H27" s="45">
        <v>2287</v>
      </c>
      <c r="I27" s="43"/>
      <c r="J27" s="43"/>
      <c r="K27" s="28">
        <v>1190</v>
      </c>
      <c r="L27" s="28">
        <v>23367</v>
      </c>
      <c r="M27" s="28">
        <v>3041</v>
      </c>
      <c r="N27" s="28">
        <v>11529</v>
      </c>
      <c r="O27" s="28">
        <v>1985</v>
      </c>
      <c r="Q27" s="49"/>
      <c r="R27" s="49"/>
      <c r="S27" s="49"/>
      <c r="T27" s="49"/>
      <c r="U27" s="49"/>
      <c r="V27" s="49"/>
    </row>
    <row r="28" spans="1:22" x14ac:dyDescent="0.3">
      <c r="A28" s="43" t="s">
        <v>54</v>
      </c>
      <c r="B28" s="43"/>
      <c r="C28" s="43"/>
      <c r="D28" s="45">
        <v>14576</v>
      </c>
      <c r="E28" s="43"/>
      <c r="F28" s="43"/>
      <c r="G28" s="27">
        <v>684</v>
      </c>
      <c r="H28" s="45">
        <v>13970</v>
      </c>
      <c r="I28" s="43"/>
      <c r="J28" s="43"/>
      <c r="K28" s="28">
        <v>1207</v>
      </c>
      <c r="L28" s="28">
        <v>65216</v>
      </c>
      <c r="M28" s="27">
        <v>486</v>
      </c>
      <c r="N28" s="28">
        <v>94787</v>
      </c>
      <c r="O28" s="27">
        <v>435</v>
      </c>
      <c r="R28" s="47" t="s">
        <v>55</v>
      </c>
      <c r="S28" s="47"/>
      <c r="T28" s="47"/>
      <c r="U28" s="47"/>
      <c r="V28" s="47"/>
    </row>
    <row r="29" spans="1:22" x14ac:dyDescent="0.3">
      <c r="A29" s="43" t="s">
        <v>44</v>
      </c>
      <c r="B29" s="43"/>
      <c r="C29" s="43"/>
      <c r="D29" s="45">
        <v>13907</v>
      </c>
      <c r="E29" s="43"/>
      <c r="F29" s="43"/>
      <c r="G29" s="27">
        <v>716</v>
      </c>
      <c r="H29" s="45">
        <v>12286</v>
      </c>
      <c r="I29" s="43"/>
      <c r="J29" s="43"/>
      <c r="K29" s="28">
        <v>1132</v>
      </c>
      <c r="L29" s="28">
        <v>45275</v>
      </c>
      <c r="M29" s="28">
        <v>2745</v>
      </c>
      <c r="N29" s="28">
        <v>87457</v>
      </c>
      <c r="O29" s="28">
        <v>1693</v>
      </c>
      <c r="R29" s="48" t="s">
        <v>56</v>
      </c>
      <c r="S29" s="48"/>
      <c r="T29" s="48"/>
      <c r="U29" s="48"/>
      <c r="V29" s="48"/>
    </row>
    <row r="30" spans="1:22" ht="18" x14ac:dyDescent="0.4">
      <c r="A30" s="43" t="s">
        <v>46</v>
      </c>
      <c r="B30" s="43"/>
      <c r="C30" s="43"/>
      <c r="D30" s="43">
        <v>669</v>
      </c>
      <c r="E30" s="43"/>
      <c r="F30" s="43"/>
      <c r="G30" s="27">
        <v>403</v>
      </c>
      <c r="H30" s="45">
        <v>1684</v>
      </c>
      <c r="I30" s="43"/>
      <c r="J30" s="43"/>
      <c r="K30" s="27">
        <v>874</v>
      </c>
      <c r="L30" s="28">
        <v>19941</v>
      </c>
      <c r="M30" s="28">
        <v>2689</v>
      </c>
      <c r="N30" s="28">
        <v>7330</v>
      </c>
      <c r="O30" s="28">
        <v>1683</v>
      </c>
      <c r="R30" s="30" t="s">
        <v>57</v>
      </c>
      <c r="S30" s="30" t="s">
        <v>58</v>
      </c>
      <c r="T30" s="31"/>
      <c r="U30" s="32" t="s">
        <v>59</v>
      </c>
      <c r="V30" s="30" t="s">
        <v>60</v>
      </c>
    </row>
    <row r="31" spans="1:22" x14ac:dyDescent="0.3">
      <c r="A31" s="43" t="s">
        <v>61</v>
      </c>
      <c r="B31" s="43"/>
      <c r="C31" s="43"/>
      <c r="D31" s="45">
        <v>10464</v>
      </c>
      <c r="E31" s="43"/>
      <c r="F31" s="43"/>
      <c r="G31" s="27">
        <v>734</v>
      </c>
      <c r="H31" s="45">
        <v>13383</v>
      </c>
      <c r="I31" s="43"/>
      <c r="J31" s="43"/>
      <c r="K31" s="27">
        <v>782</v>
      </c>
      <c r="L31" s="28">
        <v>46300</v>
      </c>
      <c r="M31" s="27">
        <v>139</v>
      </c>
      <c r="N31" s="28">
        <v>83943</v>
      </c>
      <c r="O31" s="27">
        <v>176</v>
      </c>
      <c r="R31" s="33">
        <f>S17</f>
        <v>0.10766838006574157</v>
      </c>
      <c r="S31" s="34">
        <f>S20</f>
        <v>2.4833013918332588E-2</v>
      </c>
      <c r="T31" s="35"/>
      <c r="U31" s="36">
        <f>S31/1.645</f>
        <v>1.5096057093211299E-2</v>
      </c>
      <c r="V31" s="37">
        <f>ABS(R31-R33)</f>
        <v>3.233161993425844E-2</v>
      </c>
    </row>
    <row r="32" spans="1:22" ht="18" x14ac:dyDescent="0.4">
      <c r="A32" s="43" t="s">
        <v>44</v>
      </c>
      <c r="B32" s="43"/>
      <c r="C32" s="43"/>
      <c r="D32" s="45">
        <v>9331</v>
      </c>
      <c r="E32" s="43"/>
      <c r="F32" s="43"/>
      <c r="G32" s="27">
        <v>957</v>
      </c>
      <c r="H32" s="45">
        <v>11583</v>
      </c>
      <c r="I32" s="43"/>
      <c r="J32" s="43"/>
      <c r="K32" s="28">
        <v>1098</v>
      </c>
      <c r="L32" s="28">
        <v>33039</v>
      </c>
      <c r="M32" s="28">
        <v>2548</v>
      </c>
      <c r="N32" s="28">
        <v>79751</v>
      </c>
      <c r="O32" s="28">
        <v>1316</v>
      </c>
      <c r="R32" s="30" t="s">
        <v>62</v>
      </c>
      <c r="S32" s="30" t="s">
        <v>63</v>
      </c>
      <c r="T32" s="31"/>
      <c r="U32" s="32" t="s">
        <v>64</v>
      </c>
      <c r="V32" s="30" t="s">
        <v>65</v>
      </c>
    </row>
    <row r="33" spans="1:22" x14ac:dyDescent="0.3">
      <c r="A33" s="43" t="s">
        <v>46</v>
      </c>
      <c r="B33" s="43"/>
      <c r="C33" s="43"/>
      <c r="D33" s="45">
        <v>1133</v>
      </c>
      <c r="E33" s="43"/>
      <c r="F33" s="43"/>
      <c r="G33" s="27">
        <v>634</v>
      </c>
      <c r="H33" s="45">
        <v>1800</v>
      </c>
      <c r="I33" s="43"/>
      <c r="J33" s="43"/>
      <c r="K33" s="27">
        <v>987</v>
      </c>
      <c r="L33" s="28">
        <v>13261</v>
      </c>
      <c r="M33" s="28">
        <v>2568</v>
      </c>
      <c r="N33" s="28">
        <v>4192</v>
      </c>
      <c r="O33" s="28">
        <v>1325</v>
      </c>
      <c r="R33" s="33">
        <v>0.14000000000000001</v>
      </c>
      <c r="S33" s="34">
        <v>0.04</v>
      </c>
      <c r="T33" s="38"/>
      <c r="U33" s="39">
        <f>S33/1.645</f>
        <v>2.4316109422492401E-2</v>
      </c>
      <c r="V33" s="39">
        <f>ABS((V31)/(SQRT(((U31^2)+(U33^2)))))</f>
        <v>1.1296450531932827</v>
      </c>
    </row>
    <row r="34" spans="1:22" x14ac:dyDescent="0.3">
      <c r="A34" s="43" t="s">
        <v>66</v>
      </c>
      <c r="B34" s="43"/>
      <c r="C34" s="43"/>
      <c r="D34" s="45">
        <v>6392</v>
      </c>
      <c r="E34" s="43"/>
      <c r="F34" s="43"/>
      <c r="G34" s="27">
        <v>320</v>
      </c>
      <c r="H34" s="45">
        <v>11512</v>
      </c>
      <c r="I34" s="43"/>
      <c r="J34" s="43"/>
      <c r="K34" s="27">
        <v>633</v>
      </c>
      <c r="L34" s="28">
        <v>29525</v>
      </c>
      <c r="M34" s="27">
        <v>8</v>
      </c>
      <c r="N34" s="28">
        <v>78885</v>
      </c>
      <c r="O34" s="27">
        <v>384</v>
      </c>
      <c r="R34" s="31"/>
      <c r="S34" s="31"/>
      <c r="T34" s="31"/>
      <c r="U34" s="31"/>
      <c r="V34" s="31"/>
    </row>
    <row r="35" spans="1:22" x14ac:dyDescent="0.3">
      <c r="A35" s="43" t="s">
        <v>44</v>
      </c>
      <c r="B35" s="43"/>
      <c r="C35" s="43"/>
      <c r="D35" s="45">
        <v>5791</v>
      </c>
      <c r="E35" s="43"/>
      <c r="F35" s="43"/>
      <c r="G35" s="27">
        <v>430</v>
      </c>
      <c r="H35" s="45">
        <v>10938</v>
      </c>
      <c r="I35" s="43"/>
      <c r="J35" s="43"/>
      <c r="K35" s="27">
        <v>555</v>
      </c>
      <c r="L35" s="28">
        <v>25212</v>
      </c>
      <c r="M35" s="28">
        <v>1352</v>
      </c>
      <c r="N35" s="28">
        <v>74125</v>
      </c>
      <c r="O35" s="28">
        <v>1315</v>
      </c>
      <c r="R35" s="46" t="s">
        <v>67</v>
      </c>
      <c r="S35" s="46"/>
      <c r="T35" s="46"/>
      <c r="U35" s="31" t="str">
        <f>IF(V33&gt;1.645, "Significant", "Not Significant")</f>
        <v>Not Significant</v>
      </c>
      <c r="V35" s="31"/>
    </row>
    <row r="36" spans="1:22" x14ac:dyDescent="0.3">
      <c r="A36" s="43" t="s">
        <v>46</v>
      </c>
      <c r="B36" s="43"/>
      <c r="C36" s="43"/>
      <c r="D36" s="43">
        <v>601</v>
      </c>
      <c r="E36" s="43"/>
      <c r="F36" s="43"/>
      <c r="G36" s="27">
        <v>382</v>
      </c>
      <c r="H36" s="43">
        <v>574</v>
      </c>
      <c r="I36" s="43"/>
      <c r="J36" s="43"/>
      <c r="K36" s="27">
        <v>437</v>
      </c>
      <c r="L36" s="28">
        <v>4313</v>
      </c>
      <c r="M36" s="28">
        <v>1352</v>
      </c>
      <c r="N36" s="28">
        <v>4760</v>
      </c>
      <c r="O36" s="28">
        <v>1218</v>
      </c>
      <c r="R36" s="46" t="s">
        <v>68</v>
      </c>
      <c r="S36" s="46"/>
      <c r="T36" s="46"/>
      <c r="U36" s="31" t="str">
        <f>IF(V33&gt;1.96, "Significant", "Not Significant")</f>
        <v>Not Significant</v>
      </c>
      <c r="V36" s="31"/>
    </row>
    <row r="37" spans="1:22" x14ac:dyDescent="0.3">
      <c r="A37" s="43" t="s">
        <v>69</v>
      </c>
      <c r="B37" s="43"/>
      <c r="C37" s="43"/>
      <c r="D37" s="45">
        <v>3833</v>
      </c>
      <c r="E37" s="43"/>
      <c r="F37" s="43"/>
      <c r="G37" s="27">
        <v>163</v>
      </c>
      <c r="H37" s="45">
        <v>6123</v>
      </c>
      <c r="I37" s="43"/>
      <c r="J37" s="43"/>
      <c r="K37" s="27">
        <v>497</v>
      </c>
      <c r="L37" s="28">
        <v>13528</v>
      </c>
      <c r="M37" s="27">
        <v>149</v>
      </c>
      <c r="N37" s="28">
        <v>50520</v>
      </c>
      <c r="O37" s="27">
        <v>410</v>
      </c>
      <c r="R37" s="46" t="s">
        <v>70</v>
      </c>
      <c r="S37" s="46"/>
      <c r="T37" s="46"/>
      <c r="U37" s="31" t="str">
        <f>IF(V33&gt;2.576, "Significant", "Not Significant")</f>
        <v>Not Significant</v>
      </c>
      <c r="V37" s="31"/>
    </row>
    <row r="38" spans="1:22" x14ac:dyDescent="0.3">
      <c r="A38" s="43" t="s">
        <v>44</v>
      </c>
      <c r="B38" s="43"/>
      <c r="C38" s="43"/>
      <c r="D38" s="45">
        <v>3528</v>
      </c>
      <c r="E38" s="43"/>
      <c r="F38" s="43"/>
      <c r="G38" s="27">
        <v>433</v>
      </c>
      <c r="H38" s="45">
        <v>5882</v>
      </c>
      <c r="I38" s="43"/>
      <c r="J38" s="43"/>
      <c r="K38" s="27">
        <v>490</v>
      </c>
      <c r="L38" s="28">
        <v>12431</v>
      </c>
      <c r="M38" s="28">
        <v>1185</v>
      </c>
      <c r="N38" s="28">
        <v>50441</v>
      </c>
      <c r="O38" s="27">
        <v>425</v>
      </c>
    </row>
    <row r="39" spans="1:22" x14ac:dyDescent="0.3">
      <c r="A39" s="43" t="s">
        <v>46</v>
      </c>
      <c r="B39" s="43"/>
      <c r="C39" s="43"/>
      <c r="D39" s="43">
        <v>305</v>
      </c>
      <c r="E39" s="43"/>
      <c r="F39" s="43"/>
      <c r="G39" s="27">
        <v>355</v>
      </c>
      <c r="H39" s="43">
        <v>241</v>
      </c>
      <c r="I39" s="43"/>
      <c r="J39" s="43"/>
      <c r="K39" s="27">
        <v>288</v>
      </c>
      <c r="L39" s="28">
        <v>1097</v>
      </c>
      <c r="M39" s="28">
        <v>1172</v>
      </c>
      <c r="N39" s="27">
        <v>79</v>
      </c>
      <c r="O39" s="27">
        <v>109</v>
      </c>
    </row>
    <row r="40" spans="1:22" x14ac:dyDescent="0.3">
      <c r="A40" s="43" t="s">
        <v>71</v>
      </c>
      <c r="B40" s="43"/>
      <c r="C40" s="43"/>
      <c r="D40" s="45">
        <v>1839</v>
      </c>
      <c r="E40" s="43"/>
      <c r="F40" s="43"/>
      <c r="G40" s="27">
        <v>261</v>
      </c>
      <c r="H40" s="45">
        <v>2958</v>
      </c>
      <c r="I40" s="43"/>
      <c r="J40" s="43"/>
      <c r="K40" s="27">
        <v>287</v>
      </c>
      <c r="L40" s="28">
        <v>6906</v>
      </c>
      <c r="M40" s="27">
        <v>165</v>
      </c>
      <c r="N40" s="28">
        <v>27647</v>
      </c>
      <c r="O40" s="27">
        <v>600</v>
      </c>
    </row>
    <row r="41" spans="1:22" x14ac:dyDescent="0.3">
      <c r="A41" s="43" t="s">
        <v>44</v>
      </c>
      <c r="B41" s="43"/>
      <c r="C41" s="43"/>
      <c r="D41" s="45">
        <v>1547</v>
      </c>
      <c r="E41" s="43"/>
      <c r="F41" s="43"/>
      <c r="G41" s="27">
        <v>303</v>
      </c>
      <c r="H41" s="45">
        <v>2958</v>
      </c>
      <c r="I41" s="43"/>
      <c r="J41" s="43"/>
      <c r="K41" s="27">
        <v>287</v>
      </c>
      <c r="L41" s="28">
        <v>6772</v>
      </c>
      <c r="M41" s="27">
        <v>275</v>
      </c>
      <c r="N41" s="28">
        <v>27647</v>
      </c>
      <c r="O41" s="27">
        <v>600</v>
      </c>
    </row>
    <row r="42" spans="1:22" x14ac:dyDescent="0.3">
      <c r="A42" s="43" t="s">
        <v>46</v>
      </c>
      <c r="B42" s="43"/>
      <c r="C42" s="43"/>
      <c r="D42" s="43">
        <v>292</v>
      </c>
      <c r="E42" s="43"/>
      <c r="F42" s="43"/>
      <c r="G42" s="27">
        <v>264</v>
      </c>
      <c r="H42" s="43">
        <v>0</v>
      </c>
      <c r="I42" s="43"/>
      <c r="J42" s="43"/>
      <c r="K42" s="27">
        <v>225</v>
      </c>
      <c r="L42" s="27">
        <v>134</v>
      </c>
      <c r="M42" s="27">
        <v>223</v>
      </c>
      <c r="N42" s="27">
        <v>0</v>
      </c>
      <c r="O42" s="27">
        <v>225</v>
      </c>
    </row>
    <row r="53" spans="1:18" x14ac:dyDescent="0.3">
      <c r="A53" t="s">
        <v>10</v>
      </c>
    </row>
    <row r="55" spans="1:18" x14ac:dyDescent="0.3">
      <c r="A55" t="s">
        <v>27</v>
      </c>
    </row>
    <row r="56" spans="1:18" x14ac:dyDescent="0.3">
      <c r="A56" t="s">
        <v>6</v>
      </c>
      <c r="B56">
        <v>2009</v>
      </c>
      <c r="C56" t="s">
        <v>26</v>
      </c>
      <c r="D56">
        <v>2010</v>
      </c>
      <c r="E56" t="s">
        <v>26</v>
      </c>
      <c r="F56">
        <v>2011</v>
      </c>
      <c r="G56" t="s">
        <v>26</v>
      </c>
      <c r="H56">
        <v>2012</v>
      </c>
      <c r="I56" t="s">
        <v>26</v>
      </c>
      <c r="J56">
        <v>2013</v>
      </c>
      <c r="K56" t="s">
        <v>26</v>
      </c>
      <c r="L56">
        <v>2014</v>
      </c>
      <c r="M56" t="s">
        <v>26</v>
      </c>
      <c r="N56">
        <v>2015</v>
      </c>
      <c r="O56" t="s">
        <v>26</v>
      </c>
      <c r="P56">
        <v>2016</v>
      </c>
      <c r="Q56" t="s">
        <v>26</v>
      </c>
    </row>
    <row r="57" spans="1:18" x14ac:dyDescent="0.3">
      <c r="A57" t="s">
        <v>17</v>
      </c>
      <c r="B57" s="12">
        <v>6740</v>
      </c>
      <c r="C57" s="12">
        <v>1148</v>
      </c>
      <c r="D57" s="12">
        <v>7516</v>
      </c>
      <c r="E57" s="12">
        <v>675</v>
      </c>
      <c r="F57" s="12">
        <v>9333</v>
      </c>
      <c r="G57" s="12">
        <v>1679</v>
      </c>
      <c r="H57" s="12">
        <v>7919</v>
      </c>
      <c r="I57" s="12">
        <v>1153</v>
      </c>
      <c r="J57" s="12">
        <v>5788</v>
      </c>
      <c r="K57" s="12">
        <v>1240</v>
      </c>
      <c r="L57" s="12">
        <v>7836</v>
      </c>
      <c r="M57" s="12">
        <v>800</v>
      </c>
      <c r="N57" s="12">
        <v>7737</v>
      </c>
      <c r="O57" s="12">
        <v>1824</v>
      </c>
      <c r="P57" s="12">
        <v>8812</v>
      </c>
      <c r="Q57" s="12">
        <v>1454</v>
      </c>
      <c r="R57" t="s">
        <v>9</v>
      </c>
    </row>
    <row r="58" spans="1:18" x14ac:dyDescent="0.3">
      <c r="A58" t="s">
        <v>11</v>
      </c>
      <c r="B58" s="12">
        <v>5214</v>
      </c>
      <c r="C58" s="12">
        <v>755</v>
      </c>
      <c r="D58" s="12">
        <v>5148</v>
      </c>
      <c r="E58" s="12">
        <v>570</v>
      </c>
      <c r="F58" s="12">
        <v>4126</v>
      </c>
      <c r="G58" s="12">
        <v>1060</v>
      </c>
      <c r="H58" s="12">
        <v>5248</v>
      </c>
      <c r="I58" s="12">
        <v>709</v>
      </c>
      <c r="J58" s="12">
        <v>5168</v>
      </c>
      <c r="K58" s="12">
        <v>799</v>
      </c>
      <c r="L58" s="12">
        <v>5028</v>
      </c>
      <c r="M58" s="12">
        <v>669</v>
      </c>
      <c r="N58" s="12">
        <v>4971</v>
      </c>
      <c r="O58" s="12">
        <v>685</v>
      </c>
      <c r="P58" s="12">
        <v>4974</v>
      </c>
      <c r="Q58" s="12">
        <v>891</v>
      </c>
      <c r="R58" t="s">
        <v>12</v>
      </c>
    </row>
    <row r="59" spans="1:18" x14ac:dyDescent="0.3">
      <c r="A59" t="s">
        <v>13</v>
      </c>
      <c r="B59" s="12">
        <v>48575</v>
      </c>
      <c r="C59" s="12">
        <v>1605</v>
      </c>
      <c r="D59" s="12">
        <v>43199</v>
      </c>
      <c r="E59" s="12">
        <v>1356</v>
      </c>
      <c r="F59" s="12">
        <v>46061</v>
      </c>
      <c r="G59" s="12">
        <v>1510</v>
      </c>
      <c r="H59" s="12">
        <v>48457</v>
      </c>
      <c r="I59" s="12">
        <v>1626</v>
      </c>
      <c r="J59" s="12">
        <v>45167</v>
      </c>
      <c r="K59" s="12">
        <v>1506</v>
      </c>
      <c r="L59" s="12">
        <v>47739</v>
      </c>
      <c r="M59" s="12">
        <v>1700</v>
      </c>
      <c r="N59" s="12">
        <v>44245</v>
      </c>
      <c r="O59" s="12">
        <v>1264</v>
      </c>
      <c r="P59" s="12">
        <v>43877</v>
      </c>
      <c r="Q59" s="12">
        <v>1625</v>
      </c>
      <c r="R59" t="s">
        <v>14</v>
      </c>
    </row>
    <row r="60" spans="1:18" x14ac:dyDescent="0.3">
      <c r="A60" t="s">
        <v>15</v>
      </c>
      <c r="B60" s="12">
        <v>33116</v>
      </c>
      <c r="C60" s="12">
        <v>1115</v>
      </c>
      <c r="D60" s="12">
        <v>31939</v>
      </c>
      <c r="E60" s="12">
        <v>1245</v>
      </c>
      <c r="F60" s="12">
        <v>30866</v>
      </c>
      <c r="G60" s="12">
        <v>1210</v>
      </c>
      <c r="H60" s="12">
        <v>32133</v>
      </c>
      <c r="I60" s="12">
        <v>1098</v>
      </c>
      <c r="J60" s="12">
        <v>32999</v>
      </c>
      <c r="K60" s="12">
        <v>1201</v>
      </c>
      <c r="L60" s="12">
        <v>33218</v>
      </c>
      <c r="M60" s="12">
        <v>1419</v>
      </c>
      <c r="N60" s="12">
        <v>34849</v>
      </c>
      <c r="O60" s="12">
        <v>1186</v>
      </c>
      <c r="P60" s="12">
        <v>34301</v>
      </c>
      <c r="Q60" s="12">
        <v>1330</v>
      </c>
      <c r="R60" t="s">
        <v>16</v>
      </c>
    </row>
    <row r="61" spans="1:18" x14ac:dyDescent="0.3">
      <c r="B61" s="4"/>
      <c r="C61" s="4"/>
      <c r="D61" s="4"/>
      <c r="E61" s="4"/>
      <c r="F61" s="4"/>
      <c r="G61" s="4"/>
      <c r="H61" s="4"/>
      <c r="I61" s="4"/>
      <c r="J61" s="4"/>
      <c r="K61" s="4"/>
    </row>
    <row r="62" spans="1:18" x14ac:dyDescent="0.3">
      <c r="A62" t="s">
        <v>7</v>
      </c>
      <c r="B62">
        <v>2009</v>
      </c>
      <c r="C62" t="s">
        <v>26</v>
      </c>
      <c r="D62">
        <v>2010</v>
      </c>
      <c r="E62" t="s">
        <v>26</v>
      </c>
      <c r="F62">
        <v>2011</v>
      </c>
      <c r="G62" t="s">
        <v>26</v>
      </c>
      <c r="H62">
        <v>2012</v>
      </c>
      <c r="I62" t="s">
        <v>26</v>
      </c>
      <c r="J62">
        <v>2013</v>
      </c>
      <c r="K62" t="s">
        <v>26</v>
      </c>
      <c r="L62">
        <v>2014</v>
      </c>
      <c r="M62" t="s">
        <v>26</v>
      </c>
      <c r="N62">
        <v>2015</v>
      </c>
      <c r="O62" t="s">
        <v>26</v>
      </c>
      <c r="P62">
        <v>2016</v>
      </c>
      <c r="Q62" t="s">
        <v>26</v>
      </c>
    </row>
    <row r="63" spans="1:18" x14ac:dyDescent="0.3">
      <c r="A63" t="s">
        <v>17</v>
      </c>
      <c r="B63" s="12">
        <v>15592</v>
      </c>
      <c r="C63" s="12">
        <v>835</v>
      </c>
      <c r="D63" s="12">
        <v>16718</v>
      </c>
      <c r="E63" s="12">
        <v>1113</v>
      </c>
      <c r="F63" s="12">
        <v>16032</v>
      </c>
      <c r="G63" s="12">
        <v>1839</v>
      </c>
      <c r="H63" s="12">
        <v>15967</v>
      </c>
      <c r="I63" s="12">
        <v>1757</v>
      </c>
      <c r="J63" s="12">
        <v>15125</v>
      </c>
      <c r="K63" s="12">
        <v>1863</v>
      </c>
      <c r="L63" s="12">
        <v>16352</v>
      </c>
      <c r="M63" s="12">
        <v>1052</v>
      </c>
      <c r="N63" s="12">
        <v>16302</v>
      </c>
      <c r="O63" s="12">
        <v>1957</v>
      </c>
      <c r="P63" s="12">
        <v>15586</v>
      </c>
      <c r="Q63" s="12">
        <v>1256</v>
      </c>
    </row>
    <row r="64" spans="1:18" x14ac:dyDescent="0.3">
      <c r="A64" t="s">
        <v>11</v>
      </c>
      <c r="B64" s="12">
        <v>7184</v>
      </c>
      <c r="C64" s="12">
        <v>690</v>
      </c>
      <c r="D64" s="12">
        <v>8224</v>
      </c>
      <c r="E64" s="12">
        <v>1180</v>
      </c>
      <c r="F64" s="12">
        <v>7178</v>
      </c>
      <c r="G64" s="12">
        <v>1077</v>
      </c>
      <c r="H64" s="12">
        <v>8416</v>
      </c>
      <c r="I64" s="12">
        <v>1103</v>
      </c>
      <c r="J64" s="12">
        <v>8611</v>
      </c>
      <c r="K64" s="12">
        <v>906</v>
      </c>
      <c r="L64" s="12">
        <v>8843</v>
      </c>
      <c r="M64" s="12">
        <v>1025</v>
      </c>
      <c r="N64" s="12">
        <v>10492</v>
      </c>
      <c r="O64" s="12">
        <v>845</v>
      </c>
      <c r="P64" s="12">
        <v>9165</v>
      </c>
      <c r="Q64" s="12">
        <v>1424</v>
      </c>
    </row>
    <row r="65" spans="1:18" x14ac:dyDescent="0.3">
      <c r="A65" t="s">
        <v>13</v>
      </c>
      <c r="B65" s="12">
        <v>64420</v>
      </c>
      <c r="C65" s="12">
        <v>1605</v>
      </c>
      <c r="D65" s="12">
        <v>72321</v>
      </c>
      <c r="E65" s="12">
        <v>1550</v>
      </c>
      <c r="F65" s="12">
        <v>74157</v>
      </c>
      <c r="G65" s="12">
        <v>1514</v>
      </c>
      <c r="H65" s="12">
        <v>74571</v>
      </c>
      <c r="I65" s="12">
        <v>1633</v>
      </c>
      <c r="J65" s="12">
        <v>77872</v>
      </c>
      <c r="K65" s="12">
        <v>1518</v>
      </c>
      <c r="L65" s="12">
        <v>77228</v>
      </c>
      <c r="M65" s="12">
        <v>1724</v>
      </c>
      <c r="N65" s="12">
        <v>82028</v>
      </c>
      <c r="O65" s="12">
        <v>1277</v>
      </c>
      <c r="P65" s="12">
        <v>82383</v>
      </c>
      <c r="Q65" s="12">
        <v>1645</v>
      </c>
    </row>
    <row r="66" spans="1:18" x14ac:dyDescent="0.3">
      <c r="A66" t="s">
        <v>15</v>
      </c>
      <c r="B66" s="12">
        <v>59983</v>
      </c>
      <c r="C66" s="12">
        <v>900</v>
      </c>
      <c r="D66" s="12">
        <v>55952</v>
      </c>
      <c r="E66" s="12">
        <v>1322</v>
      </c>
      <c r="F66" s="12">
        <v>59102</v>
      </c>
      <c r="G66" s="12">
        <v>1170</v>
      </c>
      <c r="H66" s="12">
        <v>59989</v>
      </c>
      <c r="I66" s="12">
        <v>1109</v>
      </c>
      <c r="J66" s="12">
        <v>59482</v>
      </c>
      <c r="K66" s="12">
        <v>1195</v>
      </c>
      <c r="L66" s="12">
        <v>60368</v>
      </c>
      <c r="M66" s="12">
        <v>1408</v>
      </c>
      <c r="N66" s="12">
        <v>59697</v>
      </c>
      <c r="O66" s="12">
        <v>1154</v>
      </c>
      <c r="P66" s="12">
        <v>61516</v>
      </c>
      <c r="Q66" s="12">
        <v>1331</v>
      </c>
    </row>
    <row r="67" spans="1:18" x14ac:dyDescent="0.3">
      <c r="B67" s="4"/>
      <c r="C67" s="4"/>
      <c r="D67" s="4"/>
      <c r="E67" s="4"/>
      <c r="F67" s="4"/>
      <c r="G67" s="4"/>
      <c r="H67" s="4"/>
      <c r="I67" s="4"/>
      <c r="J67" s="4"/>
      <c r="K67" s="4"/>
    </row>
    <row r="68" spans="1:18" x14ac:dyDescent="0.3">
      <c r="A68" s="5" t="s">
        <v>8</v>
      </c>
      <c r="B68" s="5">
        <v>2009</v>
      </c>
      <c r="C68" s="5" t="s">
        <v>26</v>
      </c>
      <c r="D68" s="5">
        <v>2010</v>
      </c>
      <c r="E68" s="5" t="s">
        <v>26</v>
      </c>
      <c r="F68" s="5">
        <v>2011</v>
      </c>
      <c r="G68" s="5" t="s">
        <v>26</v>
      </c>
      <c r="H68" s="5">
        <v>2012</v>
      </c>
      <c r="I68" s="5" t="s">
        <v>26</v>
      </c>
      <c r="J68" s="5">
        <v>2013</v>
      </c>
      <c r="K68" s="5" t="s">
        <v>26</v>
      </c>
      <c r="L68">
        <v>2014</v>
      </c>
      <c r="M68" t="s">
        <v>26</v>
      </c>
      <c r="N68">
        <v>2015</v>
      </c>
      <c r="O68" t="s">
        <v>26</v>
      </c>
      <c r="P68">
        <v>2016</v>
      </c>
      <c r="Q68" t="s">
        <v>26</v>
      </c>
    </row>
    <row r="69" spans="1:18" x14ac:dyDescent="0.3">
      <c r="A69" t="s">
        <v>17</v>
      </c>
      <c r="B69" s="12">
        <f>B57+B63</f>
        <v>22332</v>
      </c>
      <c r="C69" s="12">
        <f>SQRT(SUMSQ(C57,C63))</f>
        <v>1419.552394242636</v>
      </c>
      <c r="D69" s="12">
        <f>D57+D63</f>
        <v>24234</v>
      </c>
      <c r="E69" s="12">
        <f>SQRT(SUMSQ(E57,E63))</f>
        <v>1301.6889029257336</v>
      </c>
      <c r="F69" s="12">
        <f>F57+F63</f>
        <v>25365</v>
      </c>
      <c r="G69" s="12">
        <f>SQRT(SUMSQ(G57,G63))</f>
        <v>2490.1730863536372</v>
      </c>
      <c r="H69" s="12">
        <f>H57+H63</f>
        <v>23886</v>
      </c>
      <c r="I69" s="12">
        <f>SQRT(SUMSQ(I57,I63))</f>
        <v>2101.5370565374287</v>
      </c>
      <c r="J69" s="12">
        <f>J57+J63</f>
        <v>20913</v>
      </c>
      <c r="K69" s="12">
        <f>SQRT(SUMSQ(K57,K63))</f>
        <v>2237.9385603720225</v>
      </c>
      <c r="L69" s="12">
        <f>L57+L63</f>
        <v>24188</v>
      </c>
      <c r="M69" s="12">
        <f>SQRT(SUMSQ(M57,M63))</f>
        <v>1321.6292974960868</v>
      </c>
      <c r="N69" s="12">
        <f>N57+N63</f>
        <v>24039</v>
      </c>
      <c r="O69" s="19">
        <f>SQRT(SUMSQ(O57,O63))</f>
        <v>2675.2242896624575</v>
      </c>
      <c r="P69" s="12">
        <f>P57+P63</f>
        <v>24398</v>
      </c>
      <c r="Q69" s="12">
        <f>SQRT(SUMSQ(Q57,Q63))</f>
        <v>1921.3672215378299</v>
      </c>
    </row>
    <row r="70" spans="1:18" x14ac:dyDescent="0.3">
      <c r="A70" t="s">
        <v>11</v>
      </c>
      <c r="B70" s="12">
        <f t="shared" ref="B70:D72" si="0">B58+B64</f>
        <v>12398</v>
      </c>
      <c r="C70" s="12">
        <f t="shared" ref="C70:E72" si="1">SQRT(SUMSQ(C58,C64))</f>
        <v>1022.8025224841792</v>
      </c>
      <c r="D70" s="12">
        <f t="shared" si="0"/>
        <v>13372</v>
      </c>
      <c r="E70" s="12">
        <f t="shared" si="1"/>
        <v>1310.4579352272242</v>
      </c>
      <c r="F70" s="12">
        <f t="shared" ref="F70" si="2">F58+F64</f>
        <v>11304</v>
      </c>
      <c r="G70" s="12">
        <f t="shared" ref="G70" si="3">SQRT(SUMSQ(G58,G64))</f>
        <v>1511.1350038960782</v>
      </c>
      <c r="H70" s="12">
        <f t="shared" ref="H70" si="4">H58+H64</f>
        <v>13664</v>
      </c>
      <c r="I70" s="12">
        <f t="shared" ref="I70" si="5">SQRT(SUMSQ(I58,I64))</f>
        <v>1311.2169919582343</v>
      </c>
      <c r="J70" s="12">
        <f t="shared" ref="J70" si="6">J58+J64</f>
        <v>13779</v>
      </c>
      <c r="K70" s="12">
        <f t="shared" ref="K70" si="7">SQRT(SUMSQ(K58,K64))</f>
        <v>1207.9888244516171</v>
      </c>
      <c r="L70" s="12">
        <f>L58+L64</f>
        <v>13871</v>
      </c>
      <c r="M70" s="12">
        <f>SQRT(SUMSQ(M58,M64))</f>
        <v>1224.0040849605036</v>
      </c>
      <c r="N70" s="12">
        <f t="shared" ref="N70:N72" si="8">N58+N64</f>
        <v>15463</v>
      </c>
      <c r="O70" s="19">
        <f t="shared" ref="O70:O72" si="9">SQRT(SUMSQ(O58,O64))</f>
        <v>1087.7729542510237</v>
      </c>
      <c r="P70" s="12">
        <f t="shared" ref="P70:P72" si="10">P58+P64</f>
        <v>14139</v>
      </c>
      <c r="Q70" s="12">
        <f t="shared" ref="Q70:Q72" si="11">SQRT(SUMSQ(Q58,Q64))</f>
        <v>1679.7788544924597</v>
      </c>
    </row>
    <row r="71" spans="1:18" x14ac:dyDescent="0.3">
      <c r="A71" t="s">
        <v>13</v>
      </c>
      <c r="B71" s="12">
        <f t="shared" si="0"/>
        <v>112995</v>
      </c>
      <c r="C71" s="12">
        <f t="shared" si="1"/>
        <v>2269.8127676088175</v>
      </c>
      <c r="D71" s="12">
        <f t="shared" si="0"/>
        <v>115520</v>
      </c>
      <c r="E71" s="12">
        <f t="shared" si="1"/>
        <v>2059.4261336595687</v>
      </c>
      <c r="F71" s="12">
        <f t="shared" ref="F71" si="12">F59+F65</f>
        <v>120218</v>
      </c>
      <c r="G71" s="12">
        <f t="shared" ref="G71" si="13">SQRT(SUMSQ(G59,G65))</f>
        <v>2138.2927769601615</v>
      </c>
      <c r="H71" s="12">
        <f t="shared" ref="H71" si="14">H59+H65</f>
        <v>123028</v>
      </c>
      <c r="I71" s="12">
        <f t="shared" ref="I71" si="15">SQRT(SUMSQ(I59,I65))</f>
        <v>2304.4663156574888</v>
      </c>
      <c r="J71" s="12">
        <f t="shared" ref="J71" si="16">J59+J65</f>
        <v>123039</v>
      </c>
      <c r="K71" s="12">
        <f t="shared" ref="K71" si="17">SQRT(SUMSQ(K59,K65))</f>
        <v>2138.307742117584</v>
      </c>
      <c r="L71" s="12">
        <f>L59+L65</f>
        <v>124967</v>
      </c>
      <c r="M71" s="12">
        <f>SQRT(SUMSQ(M59,M65))</f>
        <v>2421.1930943235402</v>
      </c>
      <c r="N71" s="12">
        <f t="shared" si="8"/>
        <v>126273</v>
      </c>
      <c r="O71" s="19">
        <f t="shared" si="9"/>
        <v>1796.781845411401</v>
      </c>
      <c r="P71" s="12">
        <f t="shared" si="10"/>
        <v>126260</v>
      </c>
      <c r="Q71" s="12">
        <f t="shared" si="11"/>
        <v>2312.2824221967348</v>
      </c>
    </row>
    <row r="72" spans="1:18" x14ac:dyDescent="0.3">
      <c r="A72" t="s">
        <v>15</v>
      </c>
      <c r="B72" s="12">
        <f t="shared" si="0"/>
        <v>93099</v>
      </c>
      <c r="C72" s="12">
        <f t="shared" si="1"/>
        <v>1432.9078825939928</v>
      </c>
      <c r="D72" s="12">
        <f t="shared" si="0"/>
        <v>87891</v>
      </c>
      <c r="E72" s="12">
        <f t="shared" si="1"/>
        <v>1815.9595259806865</v>
      </c>
      <c r="F72" s="12">
        <f t="shared" ref="F72" si="18">F60+F66</f>
        <v>89968</v>
      </c>
      <c r="G72" s="12">
        <f t="shared" ref="G72" si="19">SQRT(SUMSQ(G60,G66))</f>
        <v>1683.1518053936786</v>
      </c>
      <c r="H72" s="12">
        <f t="shared" ref="H72" si="20">H60+H66</f>
        <v>92122</v>
      </c>
      <c r="I72" s="12">
        <f t="shared" ref="I72" si="21">SQRT(SUMSQ(I60,I66))</f>
        <v>1560.6040497192105</v>
      </c>
      <c r="J72" s="12">
        <f t="shared" ref="J72" si="22">J60+J66</f>
        <v>92481</v>
      </c>
      <c r="K72" s="12">
        <f t="shared" ref="K72" si="23">SQRT(SUMSQ(K60,K66))</f>
        <v>1694.2331598690896</v>
      </c>
      <c r="L72" s="12">
        <f>L60+L66</f>
        <v>93586</v>
      </c>
      <c r="M72" s="12">
        <f>SQRT(SUMSQ(M60,M66))</f>
        <v>1999.0060029924873</v>
      </c>
      <c r="N72" s="12">
        <f t="shared" si="8"/>
        <v>94546</v>
      </c>
      <c r="O72" s="19">
        <f t="shared" si="9"/>
        <v>1654.7845781248991</v>
      </c>
      <c r="P72" s="12">
        <f t="shared" si="10"/>
        <v>95817</v>
      </c>
      <c r="Q72" s="12">
        <f t="shared" si="11"/>
        <v>1881.6112776022576</v>
      </c>
    </row>
    <row r="73" spans="1:18" x14ac:dyDescent="0.3">
      <c r="B73" s="12"/>
      <c r="C73" s="12"/>
      <c r="D73" s="12"/>
      <c r="E73" s="12"/>
      <c r="F73" s="12"/>
      <c r="G73" s="12"/>
      <c r="H73" s="12"/>
      <c r="I73" s="12"/>
      <c r="J73" s="12"/>
      <c r="K73" s="12"/>
      <c r="L73" s="12"/>
      <c r="M73" s="12"/>
      <c r="N73" s="12"/>
      <c r="P73" s="12"/>
    </row>
    <row r="74" spans="1:18" x14ac:dyDescent="0.3">
      <c r="A74" s="1" t="s">
        <v>2</v>
      </c>
      <c r="B74" s="12"/>
      <c r="C74" s="12"/>
      <c r="D74" s="15"/>
      <c r="E74" s="15"/>
      <c r="F74" s="15"/>
      <c r="G74" s="15"/>
      <c r="H74" s="15"/>
      <c r="I74" s="15"/>
      <c r="J74" s="15"/>
      <c r="K74" s="15"/>
    </row>
    <row r="76" spans="1:18" x14ac:dyDescent="0.3">
      <c r="A76" t="s">
        <v>28</v>
      </c>
    </row>
    <row r="77" spans="1:18" x14ac:dyDescent="0.3">
      <c r="A77" t="s">
        <v>6</v>
      </c>
      <c r="B77">
        <v>2009</v>
      </c>
      <c r="C77" t="s">
        <v>26</v>
      </c>
      <c r="D77">
        <v>2010</v>
      </c>
      <c r="E77" t="s">
        <v>26</v>
      </c>
      <c r="F77">
        <v>2011</v>
      </c>
      <c r="G77" t="s">
        <v>26</v>
      </c>
      <c r="H77">
        <v>2012</v>
      </c>
      <c r="I77" t="s">
        <v>26</v>
      </c>
      <c r="J77">
        <v>2013</v>
      </c>
      <c r="K77" t="s">
        <v>26</v>
      </c>
      <c r="L77">
        <v>2014</v>
      </c>
      <c r="M77" t="s">
        <v>26</v>
      </c>
      <c r="N77">
        <v>2015</v>
      </c>
      <c r="O77" t="s">
        <v>26</v>
      </c>
      <c r="P77">
        <v>2016</v>
      </c>
      <c r="Q77" t="s">
        <v>26</v>
      </c>
    </row>
    <row r="78" spans="1:18" x14ac:dyDescent="0.3">
      <c r="A78" t="s">
        <v>17</v>
      </c>
      <c r="B78" s="12">
        <v>1080</v>
      </c>
      <c r="C78" s="12">
        <v>931</v>
      </c>
      <c r="D78" s="12">
        <v>640</v>
      </c>
      <c r="E78" s="12">
        <v>489</v>
      </c>
      <c r="F78" s="12">
        <v>2695</v>
      </c>
      <c r="G78" s="12">
        <v>2097</v>
      </c>
      <c r="H78" s="12">
        <v>1107</v>
      </c>
      <c r="I78" s="12">
        <v>1046</v>
      </c>
      <c r="J78" s="12">
        <v>78</v>
      </c>
      <c r="K78" s="12">
        <v>131</v>
      </c>
      <c r="L78" s="12">
        <v>648</v>
      </c>
      <c r="M78" s="12">
        <v>436</v>
      </c>
      <c r="N78" s="12">
        <v>611</v>
      </c>
      <c r="O78" s="12">
        <v>593</v>
      </c>
      <c r="P78" s="12">
        <v>675</v>
      </c>
      <c r="Q78" s="12">
        <v>655</v>
      </c>
      <c r="R78" t="s">
        <v>9</v>
      </c>
    </row>
    <row r="79" spans="1:18" x14ac:dyDescent="0.3">
      <c r="A79" t="s">
        <v>11</v>
      </c>
      <c r="B79" s="12">
        <v>402</v>
      </c>
      <c r="C79" s="12">
        <v>382</v>
      </c>
      <c r="D79" s="12">
        <v>426</v>
      </c>
      <c r="E79" s="12">
        <v>344</v>
      </c>
      <c r="F79" s="12">
        <v>282</v>
      </c>
      <c r="G79" s="12">
        <v>284</v>
      </c>
      <c r="H79" s="12">
        <v>513</v>
      </c>
      <c r="I79" s="12">
        <v>492</v>
      </c>
      <c r="J79" s="12">
        <v>249</v>
      </c>
      <c r="K79" s="12">
        <v>284</v>
      </c>
      <c r="L79" s="12">
        <v>163</v>
      </c>
      <c r="M79" s="12">
        <v>187</v>
      </c>
      <c r="N79" s="12">
        <v>272</v>
      </c>
      <c r="O79" s="12">
        <v>310</v>
      </c>
      <c r="P79" s="12">
        <v>437</v>
      </c>
      <c r="Q79" s="12">
        <v>497</v>
      </c>
      <c r="R79" t="s">
        <v>12</v>
      </c>
    </row>
    <row r="80" spans="1:18" x14ac:dyDescent="0.3">
      <c r="A80" t="s">
        <v>13</v>
      </c>
      <c r="B80" s="12">
        <v>8720</v>
      </c>
      <c r="C80" s="12">
        <v>1801</v>
      </c>
      <c r="D80" s="12">
        <v>3712</v>
      </c>
      <c r="E80" s="12">
        <v>1305</v>
      </c>
      <c r="F80" s="12">
        <v>3153</v>
      </c>
      <c r="G80" s="12">
        <v>1377</v>
      </c>
      <c r="H80" s="12">
        <v>3488</v>
      </c>
      <c r="I80" s="12">
        <v>1096</v>
      </c>
      <c r="J80" s="12">
        <v>4537</v>
      </c>
      <c r="K80" s="12">
        <v>1546</v>
      </c>
      <c r="L80" s="12">
        <v>6242</v>
      </c>
      <c r="M80" s="12">
        <v>1537</v>
      </c>
      <c r="N80" s="12">
        <v>4047</v>
      </c>
      <c r="O80" s="12">
        <v>1830</v>
      </c>
      <c r="P80" s="12">
        <v>3745</v>
      </c>
      <c r="Q80" s="12">
        <v>1408</v>
      </c>
      <c r="R80" t="s">
        <v>14</v>
      </c>
    </row>
    <row r="81" spans="1:18" x14ac:dyDescent="0.3">
      <c r="A81" t="s">
        <v>15</v>
      </c>
      <c r="B81" s="12">
        <v>1462</v>
      </c>
      <c r="C81" s="12">
        <v>805</v>
      </c>
      <c r="D81" s="12">
        <v>1230</v>
      </c>
      <c r="E81" s="12">
        <v>735</v>
      </c>
      <c r="F81" s="12">
        <v>1143</v>
      </c>
      <c r="G81" s="12">
        <v>1189</v>
      </c>
      <c r="H81" s="12">
        <v>1141</v>
      </c>
      <c r="I81" s="12">
        <v>618</v>
      </c>
      <c r="J81" s="12">
        <v>1038</v>
      </c>
      <c r="K81" s="12">
        <v>678</v>
      </c>
      <c r="L81" s="12">
        <v>1213</v>
      </c>
      <c r="M81" s="12">
        <v>490</v>
      </c>
      <c r="N81" s="12">
        <v>1423</v>
      </c>
      <c r="O81" s="12">
        <v>891</v>
      </c>
      <c r="P81" s="12">
        <v>269</v>
      </c>
      <c r="Q81" s="12">
        <v>282</v>
      </c>
      <c r="R81" t="s">
        <v>16</v>
      </c>
    </row>
    <row r="82" spans="1:18" x14ac:dyDescent="0.3">
      <c r="B82" s="4"/>
      <c r="C82" s="4"/>
      <c r="D82" s="4"/>
      <c r="E82" s="4"/>
      <c r="F82" s="4"/>
      <c r="G82" s="4"/>
      <c r="H82" s="4"/>
      <c r="I82" s="4"/>
      <c r="J82" s="4"/>
      <c r="K82" s="4"/>
    </row>
    <row r="83" spans="1:18" x14ac:dyDescent="0.3">
      <c r="A83" t="s">
        <v>7</v>
      </c>
      <c r="B83">
        <v>2009</v>
      </c>
      <c r="C83" t="s">
        <v>26</v>
      </c>
      <c r="D83">
        <v>2010</v>
      </c>
      <c r="E83" t="s">
        <v>26</v>
      </c>
      <c r="F83">
        <v>2011</v>
      </c>
      <c r="G83" t="s">
        <v>26</v>
      </c>
      <c r="H83">
        <v>2012</v>
      </c>
      <c r="I83" t="s">
        <v>26</v>
      </c>
      <c r="J83">
        <v>2013</v>
      </c>
      <c r="K83" t="s">
        <v>26</v>
      </c>
      <c r="L83">
        <v>2014</v>
      </c>
      <c r="M83" t="s">
        <v>26</v>
      </c>
      <c r="N83">
        <v>2015</v>
      </c>
      <c r="O83" t="s">
        <v>26</v>
      </c>
      <c r="P83">
        <v>2016</v>
      </c>
      <c r="Q83" t="s">
        <v>26</v>
      </c>
    </row>
    <row r="84" spans="1:18" x14ac:dyDescent="0.3">
      <c r="A84" t="s">
        <v>17</v>
      </c>
      <c r="B84" s="12">
        <v>2719</v>
      </c>
      <c r="C84" s="12">
        <v>1333</v>
      </c>
      <c r="D84" s="12">
        <v>837</v>
      </c>
      <c r="E84" s="12">
        <v>485</v>
      </c>
      <c r="F84" s="12">
        <v>1434</v>
      </c>
      <c r="G84" s="12">
        <v>1053</v>
      </c>
      <c r="H84" s="12">
        <v>930</v>
      </c>
      <c r="I84" s="12">
        <v>484</v>
      </c>
      <c r="J84" s="12">
        <v>320</v>
      </c>
      <c r="K84" s="12">
        <v>319</v>
      </c>
      <c r="L84" s="12">
        <v>420</v>
      </c>
      <c r="M84" s="12">
        <v>351</v>
      </c>
      <c r="N84" s="12">
        <v>1029</v>
      </c>
      <c r="O84" s="12">
        <v>792</v>
      </c>
      <c r="P84" s="12">
        <v>1512</v>
      </c>
      <c r="Q84" s="12">
        <v>843</v>
      </c>
    </row>
    <row r="85" spans="1:18" x14ac:dyDescent="0.3">
      <c r="A85" t="s">
        <v>11</v>
      </c>
      <c r="B85" s="12">
        <v>1023</v>
      </c>
      <c r="C85" s="12">
        <v>596</v>
      </c>
      <c r="D85" s="12">
        <v>1064</v>
      </c>
      <c r="E85" s="12">
        <v>741</v>
      </c>
      <c r="F85" s="12">
        <v>836</v>
      </c>
      <c r="G85" s="12">
        <v>579</v>
      </c>
      <c r="H85" s="12">
        <v>1099</v>
      </c>
      <c r="I85" s="12">
        <v>630</v>
      </c>
      <c r="J85" s="12">
        <v>624</v>
      </c>
      <c r="K85" s="12">
        <v>564</v>
      </c>
      <c r="L85" s="12">
        <v>469</v>
      </c>
      <c r="M85" s="12">
        <v>306</v>
      </c>
      <c r="N85" s="12">
        <v>178</v>
      </c>
      <c r="O85" s="12">
        <v>187</v>
      </c>
      <c r="P85" s="12">
        <v>1319</v>
      </c>
      <c r="Q85" s="12">
        <v>1147</v>
      </c>
    </row>
    <row r="86" spans="1:18" x14ac:dyDescent="0.3">
      <c r="A86" t="s">
        <v>13</v>
      </c>
      <c r="B86" s="12">
        <v>18476</v>
      </c>
      <c r="C86" s="12">
        <v>2783</v>
      </c>
      <c r="D86" s="12">
        <v>17577</v>
      </c>
      <c r="E86" s="12">
        <v>2641</v>
      </c>
      <c r="F86" s="12">
        <v>14990</v>
      </c>
      <c r="G86" s="12">
        <v>2932</v>
      </c>
      <c r="H86" s="12">
        <v>13311</v>
      </c>
      <c r="I86" s="12">
        <v>2521</v>
      </c>
      <c r="J86" s="12">
        <v>13016</v>
      </c>
      <c r="K86" s="12">
        <v>3228</v>
      </c>
      <c r="L86" s="12">
        <v>15052</v>
      </c>
      <c r="M86" s="12">
        <v>2518</v>
      </c>
      <c r="N86" s="12">
        <v>10943</v>
      </c>
      <c r="O86" s="12">
        <v>2528</v>
      </c>
      <c r="P86" s="12">
        <v>11993</v>
      </c>
      <c r="Q86" s="12">
        <v>2574</v>
      </c>
    </row>
    <row r="87" spans="1:18" x14ac:dyDescent="0.3">
      <c r="A87" t="s">
        <v>15</v>
      </c>
      <c r="B87" s="12">
        <v>4276</v>
      </c>
      <c r="C87" s="12">
        <v>1708</v>
      </c>
      <c r="D87" s="12">
        <v>2960</v>
      </c>
      <c r="E87" s="12">
        <v>1136</v>
      </c>
      <c r="F87" s="12">
        <v>2182</v>
      </c>
      <c r="G87" s="12">
        <v>1679</v>
      </c>
      <c r="H87" s="12">
        <v>3731</v>
      </c>
      <c r="I87" s="12">
        <v>1594</v>
      </c>
      <c r="J87" s="12">
        <v>3379</v>
      </c>
      <c r="K87" s="12">
        <v>1548</v>
      </c>
      <c r="L87" s="12">
        <v>3296</v>
      </c>
      <c r="M87" s="12">
        <v>1190</v>
      </c>
      <c r="N87" s="12">
        <v>1861</v>
      </c>
      <c r="O87" s="12">
        <v>743</v>
      </c>
      <c r="P87" s="12">
        <v>2153</v>
      </c>
      <c r="Q87" s="12">
        <v>1209</v>
      </c>
    </row>
    <row r="88" spans="1:18" x14ac:dyDescent="0.3">
      <c r="B88" s="12"/>
      <c r="C88" s="12"/>
      <c r="D88" s="12"/>
      <c r="E88" s="12"/>
      <c r="F88" s="12"/>
      <c r="G88" s="12"/>
      <c r="H88" s="12"/>
      <c r="I88" s="12"/>
      <c r="J88" s="12"/>
      <c r="K88" s="12"/>
    </row>
    <row r="89" spans="1:18" x14ac:dyDescent="0.3">
      <c r="A89" s="5" t="s">
        <v>8</v>
      </c>
      <c r="B89" s="5">
        <v>2009</v>
      </c>
      <c r="C89" s="5" t="s">
        <v>26</v>
      </c>
      <c r="D89" s="5">
        <v>2010</v>
      </c>
      <c r="E89" s="5" t="s">
        <v>26</v>
      </c>
      <c r="F89" s="5">
        <v>2011</v>
      </c>
      <c r="G89" s="5" t="s">
        <v>26</v>
      </c>
      <c r="H89" s="5">
        <v>2012</v>
      </c>
      <c r="I89" s="5" t="s">
        <v>26</v>
      </c>
      <c r="J89" s="5">
        <v>2013</v>
      </c>
      <c r="K89" s="5" t="s">
        <v>26</v>
      </c>
      <c r="L89">
        <v>2014</v>
      </c>
      <c r="M89" t="s">
        <v>26</v>
      </c>
      <c r="N89">
        <v>2015</v>
      </c>
      <c r="O89" t="s">
        <v>26</v>
      </c>
      <c r="P89">
        <v>2016</v>
      </c>
      <c r="Q89" t="s">
        <v>26</v>
      </c>
    </row>
    <row r="90" spans="1:18" x14ac:dyDescent="0.3">
      <c r="A90" t="s">
        <v>17</v>
      </c>
      <c r="B90" s="15">
        <f>B78+B84</f>
        <v>3799</v>
      </c>
      <c r="C90" s="15">
        <f>SQRT(SUMSQ(C78,C84))</f>
        <v>1625.9305028198469</v>
      </c>
      <c r="D90" s="15">
        <f>D78+D84</f>
        <v>1477</v>
      </c>
      <c r="E90" s="15">
        <f>SQRT(SUMSQ(E78,E84))</f>
        <v>688.72781270978157</v>
      </c>
      <c r="F90" s="15">
        <f>F78+F84</f>
        <v>4129</v>
      </c>
      <c r="G90" s="15">
        <f>SQRT(SUMSQ(G78,G84))</f>
        <v>2346.5331874917092</v>
      </c>
      <c r="H90" s="15">
        <f>H78+H84</f>
        <v>2037</v>
      </c>
      <c r="I90" s="15">
        <f>SQRT(SUMSQ(I78,I84))</f>
        <v>1152.5502158257575</v>
      </c>
      <c r="J90" s="15">
        <f>J78+J84</f>
        <v>398</v>
      </c>
      <c r="K90" s="15">
        <f>SQRT(SUMSQ(K78,K84))</f>
        <v>344.85069232930357</v>
      </c>
      <c r="L90" s="15">
        <f>L78+L84</f>
        <v>1068</v>
      </c>
      <c r="M90" s="15">
        <f>SQRT(SUMSQ(M78,M84))</f>
        <v>559.72939890629289</v>
      </c>
      <c r="N90" s="15">
        <f>N78+N84</f>
        <v>1640</v>
      </c>
      <c r="O90" s="19">
        <f>SQRT(SUMSQ(O78,O84))</f>
        <v>989.40032342828749</v>
      </c>
      <c r="P90" s="15">
        <f>P78+P84</f>
        <v>2187</v>
      </c>
      <c r="Q90" s="19">
        <f>SQRT(SUMSQ(Q78,Q84))</f>
        <v>1067.5551508001822</v>
      </c>
    </row>
    <row r="91" spans="1:18" x14ac:dyDescent="0.3">
      <c r="A91" t="s">
        <v>11</v>
      </c>
      <c r="B91" s="15">
        <f t="shared" ref="B91:D93" si="24">B79+B85</f>
        <v>1425</v>
      </c>
      <c r="C91" s="15">
        <f t="shared" ref="C91:E93" si="25">SQRT(SUMSQ(C79,C85))</f>
        <v>707.91242396217342</v>
      </c>
      <c r="D91" s="15">
        <f t="shared" si="24"/>
        <v>1490</v>
      </c>
      <c r="E91" s="15">
        <f t="shared" si="25"/>
        <v>816.95593516419228</v>
      </c>
      <c r="F91" s="15">
        <f t="shared" ref="F91" si="26">F79+F85</f>
        <v>1118</v>
      </c>
      <c r="G91" s="15">
        <f t="shared" ref="G91" si="27">SQRT(SUMSQ(G79,G85))</f>
        <v>644.90076756040537</v>
      </c>
      <c r="H91" s="15">
        <f t="shared" ref="H91" si="28">H79+H85</f>
        <v>1612</v>
      </c>
      <c r="I91" s="15">
        <f t="shared" ref="I91:K91" si="29">SQRT(SUMSQ(I79,I85))</f>
        <v>799.35223775254428</v>
      </c>
      <c r="J91" s="15">
        <f t="shared" ref="J91" si="30">J79+J85</f>
        <v>873</v>
      </c>
      <c r="K91" s="15">
        <f t="shared" si="29"/>
        <v>631.46813062893364</v>
      </c>
      <c r="L91" s="15">
        <f>L79+L85</f>
        <v>632</v>
      </c>
      <c r="M91" s="15">
        <f>SQRT(SUMSQ(M79,M85))</f>
        <v>358.61539286539278</v>
      </c>
      <c r="N91" s="15">
        <f t="shared" ref="N91:N93" si="31">N79+N85</f>
        <v>450</v>
      </c>
      <c r="O91" s="19">
        <f t="shared" ref="O91:O93" si="32">SQRT(SUMSQ(O79,O85))</f>
        <v>362.03452874000845</v>
      </c>
      <c r="P91" s="15">
        <f t="shared" ref="P91:P93" si="33">P79+P85</f>
        <v>1756</v>
      </c>
      <c r="Q91" s="19">
        <f t="shared" ref="Q91:Q93" si="34">SQRT(SUMSQ(Q79,Q85))</f>
        <v>1250.0471991088978</v>
      </c>
    </row>
    <row r="92" spans="1:18" x14ac:dyDescent="0.3">
      <c r="A92" t="s">
        <v>13</v>
      </c>
      <c r="B92" s="15">
        <f t="shared" si="24"/>
        <v>27196</v>
      </c>
      <c r="C92" s="15">
        <f t="shared" si="25"/>
        <v>3314.9193052018627</v>
      </c>
      <c r="D92" s="15">
        <f t="shared" si="24"/>
        <v>21289</v>
      </c>
      <c r="E92" s="15">
        <f t="shared" si="25"/>
        <v>2945.8285761394873</v>
      </c>
      <c r="F92" s="15">
        <f t="shared" ref="F92" si="35">F80+F86</f>
        <v>18143</v>
      </c>
      <c r="G92" s="15">
        <f t="shared" ref="G92" si="36">SQRT(SUMSQ(G80,G86))</f>
        <v>3239.2519198111158</v>
      </c>
      <c r="H92" s="15">
        <f t="shared" ref="H92" si="37">H80+H86</f>
        <v>16799</v>
      </c>
      <c r="I92" s="15">
        <f t="shared" ref="I92:K92" si="38">SQRT(SUMSQ(I80,I86))</f>
        <v>2748.9374310813259</v>
      </c>
      <c r="J92" s="15">
        <f t="shared" ref="J92" si="39">J80+J86</f>
        <v>17553</v>
      </c>
      <c r="K92" s="15">
        <f t="shared" si="38"/>
        <v>3579.1200035762981</v>
      </c>
      <c r="L92" s="15">
        <f>L80+L86</f>
        <v>21294</v>
      </c>
      <c r="M92" s="15">
        <f>SQRT(SUMSQ(M80,M86))</f>
        <v>2950.0327116830417</v>
      </c>
      <c r="N92" s="15">
        <f t="shared" si="31"/>
        <v>14990</v>
      </c>
      <c r="O92" s="19">
        <f t="shared" si="32"/>
        <v>3120.8466799892622</v>
      </c>
      <c r="P92" s="15">
        <f t="shared" si="33"/>
        <v>15738</v>
      </c>
      <c r="Q92" s="19">
        <f t="shared" si="34"/>
        <v>2933.9291061646327</v>
      </c>
    </row>
    <row r="93" spans="1:18" x14ac:dyDescent="0.3">
      <c r="A93" t="s">
        <v>15</v>
      </c>
      <c r="B93" s="15">
        <f t="shared" si="24"/>
        <v>5738</v>
      </c>
      <c r="C93" s="15">
        <f t="shared" si="25"/>
        <v>1888.1972884208897</v>
      </c>
      <c r="D93" s="15">
        <f t="shared" si="24"/>
        <v>4190</v>
      </c>
      <c r="E93" s="15">
        <f t="shared" si="25"/>
        <v>1353.0413888717521</v>
      </c>
      <c r="F93" s="15">
        <f t="shared" ref="F93" si="40">F81+F87</f>
        <v>3325</v>
      </c>
      <c r="G93" s="15">
        <f t="shared" ref="G93" si="41">SQRT(SUMSQ(G81,G87))</f>
        <v>2057.3677357244619</v>
      </c>
      <c r="H93" s="15">
        <f t="shared" ref="H93" si="42">H81+H87</f>
        <v>4872</v>
      </c>
      <c r="I93" s="15">
        <f t="shared" ref="I93:K93" si="43">SQRT(SUMSQ(I81,I87))</f>
        <v>1709.608142236109</v>
      </c>
      <c r="J93" s="15">
        <f t="shared" ref="J93" si="44">J81+J87</f>
        <v>4417</v>
      </c>
      <c r="K93" s="15">
        <f t="shared" si="43"/>
        <v>1689.9668635804667</v>
      </c>
      <c r="L93" s="15">
        <f>L81+L87</f>
        <v>4509</v>
      </c>
      <c r="M93" s="15">
        <f>SQRT(SUMSQ(M81,M87))</f>
        <v>1286.9343417595164</v>
      </c>
      <c r="N93" s="15">
        <f t="shared" si="31"/>
        <v>3284</v>
      </c>
      <c r="O93" s="19">
        <f t="shared" si="32"/>
        <v>1160.142232659427</v>
      </c>
      <c r="P93" s="15">
        <f t="shared" si="33"/>
        <v>2422</v>
      </c>
      <c r="Q93" s="19">
        <f t="shared" si="34"/>
        <v>1241.4527779984223</v>
      </c>
    </row>
    <row r="94" spans="1:18" x14ac:dyDescent="0.3">
      <c r="B94" s="15"/>
      <c r="C94" s="15"/>
      <c r="D94" s="15"/>
      <c r="E94" s="15"/>
      <c r="F94" s="15"/>
      <c r="G94" s="15"/>
      <c r="H94" s="15"/>
      <c r="I94" s="15"/>
      <c r="J94" s="15"/>
      <c r="K94" s="15"/>
      <c r="L94" s="15"/>
      <c r="M94" s="15"/>
      <c r="N94" s="15"/>
      <c r="P94" s="15"/>
    </row>
    <row r="95" spans="1:18" x14ac:dyDescent="0.3">
      <c r="A95" s="1" t="s">
        <v>2</v>
      </c>
      <c r="B95" s="15"/>
      <c r="C95" s="15"/>
      <c r="D95" s="15"/>
      <c r="E95" s="15"/>
      <c r="F95" s="15"/>
      <c r="G95" s="15"/>
      <c r="H95" s="15"/>
      <c r="I95" s="15"/>
      <c r="J95" s="15"/>
      <c r="K95" s="15"/>
    </row>
    <row r="97" spans="1:18" x14ac:dyDescent="0.3">
      <c r="A97" t="s">
        <v>6</v>
      </c>
      <c r="B97">
        <v>2009</v>
      </c>
      <c r="C97" t="s">
        <v>26</v>
      </c>
      <c r="D97">
        <v>2010</v>
      </c>
      <c r="E97" t="s">
        <v>26</v>
      </c>
      <c r="F97">
        <v>2011</v>
      </c>
      <c r="G97" t="s">
        <v>26</v>
      </c>
      <c r="H97">
        <v>2012</v>
      </c>
      <c r="I97" t="s">
        <v>26</v>
      </c>
      <c r="J97">
        <v>2013</v>
      </c>
      <c r="K97" t="s">
        <v>26</v>
      </c>
      <c r="L97">
        <v>2014</v>
      </c>
      <c r="M97" t="s">
        <v>26</v>
      </c>
      <c r="N97">
        <v>2015</v>
      </c>
      <c r="O97" t="s">
        <v>26</v>
      </c>
      <c r="P97">
        <v>2016</v>
      </c>
      <c r="Q97" t="s">
        <v>26</v>
      </c>
    </row>
    <row r="98" spans="1:18" x14ac:dyDescent="0.3">
      <c r="A98" t="s">
        <v>17</v>
      </c>
      <c r="B98" s="4">
        <f>B78/B57</f>
        <v>0.16023738872403562</v>
      </c>
      <c r="C98" s="4">
        <f>(SQRT(C78^2-(B98^2*C57^2)))/B57</f>
        <v>0.13540739793343431</v>
      </c>
      <c r="D98" s="4">
        <f>D78/D57</f>
        <v>8.5151676423629585E-2</v>
      </c>
      <c r="E98" s="4">
        <f>(SQRT(E78^2-(D98^2*E57^2)))/D57</f>
        <v>6.4610203134494532E-2</v>
      </c>
      <c r="F98" s="4">
        <f>F78/F57</f>
        <v>0.28876031286831672</v>
      </c>
      <c r="G98" s="4">
        <f>(SQRT(G78^2-(F98^2*G57^2)))/F57</f>
        <v>0.21859893705373248</v>
      </c>
      <c r="H98" s="4">
        <f>H78/H57</f>
        <v>0.13979037757292587</v>
      </c>
      <c r="I98" s="4">
        <f>(SQRT(I78^2-(H98^2*I57^2)))/H57</f>
        <v>0.13050983759136472</v>
      </c>
      <c r="J98" s="4">
        <f>J78/J57</f>
        <v>1.3476157567380787E-2</v>
      </c>
      <c r="K98" s="4">
        <f>(SQRT(K78^2-(J98^2*K57^2)))/J57</f>
        <v>2.2448139669475977E-2</v>
      </c>
      <c r="L98" s="4">
        <f>L78/L57</f>
        <v>8.2695252679938741E-2</v>
      </c>
      <c r="M98" s="4">
        <f>(SQRT(M78^2-(L98^2*M57^2)))/L57</f>
        <v>5.4996386862198626E-2</v>
      </c>
      <c r="N98" s="4">
        <f>N78/N57</f>
        <v>7.8971177458963426E-2</v>
      </c>
      <c r="O98" s="4">
        <f>(SQRT(O78^2-(N98^2*O57^2)))/N57</f>
        <v>7.4349167307504946E-2</v>
      </c>
      <c r="P98" s="4">
        <f>P78/P57</f>
        <v>7.6600090785292785E-2</v>
      </c>
      <c r="Q98" s="4">
        <f>(SQRT(Q78^2-(P98^2*Q57^2)))/P57</f>
        <v>7.3247989469702304E-2</v>
      </c>
      <c r="R98" t="s">
        <v>9</v>
      </c>
    </row>
    <row r="99" spans="1:18" x14ac:dyDescent="0.3">
      <c r="A99" t="s">
        <v>11</v>
      </c>
      <c r="B99" s="4">
        <f>B79/B58</f>
        <v>7.7100115074798622E-2</v>
      </c>
      <c r="C99" s="4">
        <f>(SQRT(C79^2-(B99^2*C58^2)))/B58</f>
        <v>7.2408664413770529E-2</v>
      </c>
      <c r="D99" s="4">
        <f>D79/D58</f>
        <v>8.2750582750582752E-2</v>
      </c>
      <c r="E99" s="4">
        <f>(SQRT(E79^2-(D99^2*E58^2)))/D58</f>
        <v>6.619093414753785E-2</v>
      </c>
      <c r="F99" s="4">
        <f t="shared" ref="F99" si="45">F79/F58</f>
        <v>6.834706737760543E-2</v>
      </c>
      <c r="G99" s="4">
        <f t="shared" ref="G99:I99" si="46">(SQRT(G79^2-(F99^2*G58^2)))/F58</f>
        <v>6.6554508498295958E-2</v>
      </c>
      <c r="H99" s="4">
        <f t="shared" ref="H99" si="47">H79/H58</f>
        <v>9.7751524390243899E-2</v>
      </c>
      <c r="I99" s="4">
        <f t="shared" si="46"/>
        <v>9.2815194476292384E-2</v>
      </c>
      <c r="J99" s="4">
        <f t="shared" ref="J99" si="48">J79/J58</f>
        <v>4.8181114551083593E-2</v>
      </c>
      <c r="K99" s="4">
        <f t="shared" ref="K99" si="49">(SQRT(K79^2-(J99^2*K58^2)))/J58</f>
        <v>5.4446353354326016E-2</v>
      </c>
      <c r="L99" s="4">
        <f>L79/L58</f>
        <v>3.2418456642800318E-2</v>
      </c>
      <c r="M99" s="4">
        <f>(SQRT(M79^2-(L99^2*M58^2)))/L58</f>
        <v>3.6940747047392183E-2</v>
      </c>
      <c r="N99" s="4">
        <f t="shared" ref="N99:N101" si="50">N79/N58</f>
        <v>5.4717360692013682E-2</v>
      </c>
      <c r="O99" s="4">
        <f t="shared" ref="O99:O101" si="51">(SQRT(O79^2-(N99^2*O58^2)))/N58</f>
        <v>6.1904196953463608E-2</v>
      </c>
      <c r="P99" s="4">
        <f t="shared" ref="P99:P101" si="52">P79/P58</f>
        <v>8.7856855649376758E-2</v>
      </c>
      <c r="Q99" s="4">
        <f t="shared" ref="Q99:Q101" si="53">(SQRT(Q79^2-(P99^2*Q58^2)))/P58</f>
        <v>9.8672389379696274E-2</v>
      </c>
      <c r="R99" t="s">
        <v>12</v>
      </c>
    </row>
    <row r="100" spans="1:18" x14ac:dyDescent="0.3">
      <c r="A100" t="s">
        <v>13</v>
      </c>
      <c r="B100" s="4">
        <f>B80/B59</f>
        <v>0.17951621204323212</v>
      </c>
      <c r="C100" s="4">
        <f>(SQRT(C80^2-(B100^2*C59^2)))/B59</f>
        <v>3.6599148849533324E-2</v>
      </c>
      <c r="D100" s="4">
        <f>D80/D59</f>
        <v>8.5927914998032359E-2</v>
      </c>
      <c r="E100" s="4">
        <f>(SQRT(E80^2-(D100^2*E59^2)))/D59</f>
        <v>3.0088378575164974E-2</v>
      </c>
      <c r="F100" s="4">
        <f t="shared" ref="F100" si="54">F80/F59</f>
        <v>6.8452704022926122E-2</v>
      </c>
      <c r="G100" s="4">
        <f t="shared" ref="G100:I100" si="55">(SQRT(G80^2-(F100^2*G59^2)))/F59</f>
        <v>2.9810795697385484E-2</v>
      </c>
      <c r="H100" s="4">
        <f t="shared" ref="H100" si="56">H80/H59</f>
        <v>7.198134428462348E-2</v>
      </c>
      <c r="I100" s="4">
        <f t="shared" si="55"/>
        <v>2.2488652826114296E-2</v>
      </c>
      <c r="J100" s="4">
        <f t="shared" ref="J100" si="57">J80/J59</f>
        <v>0.10044944317754112</v>
      </c>
      <c r="K100" s="4">
        <f t="shared" ref="K100" si="58">(SQRT(K80^2-(J100^2*K59^2)))/J59</f>
        <v>3.4064271276294508E-2</v>
      </c>
      <c r="L100" s="4">
        <f>L80/L59</f>
        <v>0.13075263411466514</v>
      </c>
      <c r="M100" s="4">
        <f>(SQRT(M80^2-(L100^2*M59^2)))/L59</f>
        <v>3.185743618846941E-2</v>
      </c>
      <c r="N100" s="4">
        <f t="shared" si="50"/>
        <v>9.1467962481636342E-2</v>
      </c>
      <c r="O100" s="4">
        <f t="shared" si="51"/>
        <v>4.1277978926729582E-2</v>
      </c>
      <c r="P100" s="4">
        <f t="shared" si="52"/>
        <v>8.5352234655970097E-2</v>
      </c>
      <c r="Q100" s="4">
        <f t="shared" si="53"/>
        <v>3.1933633543950964E-2</v>
      </c>
      <c r="R100" t="s">
        <v>14</v>
      </c>
    </row>
    <row r="101" spans="1:18" x14ac:dyDescent="0.3">
      <c r="A101" t="s">
        <v>15</v>
      </c>
      <c r="B101" s="4">
        <f>B81/B60</f>
        <v>4.4147843942505136E-2</v>
      </c>
      <c r="C101" s="4">
        <f>(SQRT(C81^2-(B101^2*C60^2)))/B60</f>
        <v>2.4263001825329571E-2</v>
      </c>
      <c r="D101" s="4">
        <f>D81/D60</f>
        <v>3.8510911424903725E-2</v>
      </c>
      <c r="E101" s="4">
        <f>(SQRT(E81^2-(D101^2*E60^2)))/D60</f>
        <v>2.2963602645278348E-2</v>
      </c>
      <c r="F101" s="4">
        <f t="shared" ref="F101" si="59">F81/F60</f>
        <v>3.7031037387416574E-2</v>
      </c>
      <c r="G101" s="4">
        <f t="shared" ref="G101:I101" si="60">(SQRT(G81^2-(F101^2*G60^2)))/F60</f>
        <v>3.8493987298968697E-2</v>
      </c>
      <c r="H101" s="4">
        <f t="shared" ref="H101" si="61">H81/H60</f>
        <v>3.5508667102355833E-2</v>
      </c>
      <c r="I101" s="4">
        <f t="shared" si="60"/>
        <v>1.9194252508931028E-2</v>
      </c>
      <c r="J101" s="4">
        <f t="shared" ref="J101" si="62">J81/J60</f>
        <v>3.145549865147429E-2</v>
      </c>
      <c r="K101" s="4">
        <f t="shared" ref="K101" si="63">(SQRT(K81^2-(J101^2*K60^2)))/J60</f>
        <v>2.0514157646755116E-2</v>
      </c>
      <c r="L101" s="4">
        <f>L81/L60</f>
        <v>3.651634655909447E-2</v>
      </c>
      <c r="M101" s="4">
        <f>(SQRT(M81^2-(L101^2*M60^2)))/L60</f>
        <v>1.4668328379250447E-2</v>
      </c>
      <c r="N101" s="4">
        <f t="shared" si="50"/>
        <v>4.0833309420643345E-2</v>
      </c>
      <c r="O101" s="4">
        <f t="shared" si="51"/>
        <v>2.5529654240850536E-2</v>
      </c>
      <c r="P101" s="4">
        <f t="shared" si="52"/>
        <v>7.8423369581061778E-3</v>
      </c>
      <c r="Q101" s="4">
        <f t="shared" si="53"/>
        <v>8.2157092084265311E-3</v>
      </c>
      <c r="R101" t="s">
        <v>16</v>
      </c>
    </row>
    <row r="102" spans="1:18" x14ac:dyDescent="0.3">
      <c r="B102" s="4"/>
      <c r="C102" s="4"/>
      <c r="D102" s="4"/>
      <c r="E102" s="4"/>
      <c r="F102" s="4"/>
      <c r="G102" s="4"/>
      <c r="H102" s="4"/>
      <c r="I102" s="4"/>
      <c r="J102" s="4"/>
      <c r="K102" s="4"/>
    </row>
    <row r="103" spans="1:18" x14ac:dyDescent="0.3">
      <c r="A103" t="s">
        <v>7</v>
      </c>
      <c r="B103">
        <v>2009</v>
      </c>
      <c r="C103" t="s">
        <v>26</v>
      </c>
      <c r="D103">
        <v>2010</v>
      </c>
      <c r="E103" t="s">
        <v>26</v>
      </c>
      <c r="F103">
        <v>2011</v>
      </c>
      <c r="G103" t="s">
        <v>26</v>
      </c>
      <c r="H103">
        <v>2012</v>
      </c>
      <c r="I103" t="s">
        <v>26</v>
      </c>
      <c r="J103">
        <v>2013</v>
      </c>
      <c r="K103" t="s">
        <v>26</v>
      </c>
      <c r="L103">
        <v>2014</v>
      </c>
      <c r="M103" t="s">
        <v>26</v>
      </c>
      <c r="N103">
        <v>2015</v>
      </c>
      <c r="O103" t="s">
        <v>26</v>
      </c>
      <c r="P103">
        <v>2016</v>
      </c>
      <c r="Q103" t="s">
        <v>26</v>
      </c>
    </row>
    <row r="104" spans="1:18" x14ac:dyDescent="0.3">
      <c r="A104" t="s">
        <v>17</v>
      </c>
      <c r="B104" s="4">
        <f>B84/B63</f>
        <v>0.17438429964084146</v>
      </c>
      <c r="C104" s="4">
        <f>(SQRT(C84^2-(B104^2*C63^2)))/B63</f>
        <v>8.4980964309638751E-2</v>
      </c>
      <c r="D104" s="4">
        <f>D84/D63</f>
        <v>5.0065797344179923E-2</v>
      </c>
      <c r="E104" s="4">
        <f>(SQRT(E84^2-(D104^2*E63^2)))/D63</f>
        <v>2.8818534134542287E-2</v>
      </c>
      <c r="F104" s="4">
        <f>F84/F63</f>
        <v>8.9446107784431142E-2</v>
      </c>
      <c r="G104" s="4">
        <f>(SQRT(G84^2-(F104^2*G63^2)))/F63</f>
        <v>6.4874804974679789E-2</v>
      </c>
      <c r="H104" s="4">
        <f>H84/H63</f>
        <v>5.8245130581825011E-2</v>
      </c>
      <c r="I104" s="4">
        <f>(SQRT(I84^2-(H104^2*I63^2)))/H63</f>
        <v>2.9627186786963841E-2</v>
      </c>
      <c r="J104" s="4">
        <f>J84/J63</f>
        <v>2.1157024793388431E-2</v>
      </c>
      <c r="K104" s="4">
        <f>(SQRT(K84^2-(J104^2*K63^2)))/J63</f>
        <v>2.0929292477626565E-2</v>
      </c>
      <c r="L104" s="4">
        <f>L84/L63</f>
        <v>2.5684931506849314E-2</v>
      </c>
      <c r="M104" s="4">
        <f>(SQRT(M84^2-(L104^2*M63^2)))/L63</f>
        <v>2.1401566279281029E-2</v>
      </c>
      <c r="N104" s="4">
        <f>N84/N63</f>
        <v>6.3121089436878913E-2</v>
      </c>
      <c r="O104" s="4">
        <f>(SQRT(O84^2-(N104^2*O63^2)))/N63</f>
        <v>4.7988429770862928E-2</v>
      </c>
      <c r="P104" s="4">
        <f>P84/P63</f>
        <v>9.7010137302707564E-2</v>
      </c>
      <c r="Q104" s="4">
        <f>(SQRT(Q84^2-(P104^2*Q63^2)))/P63</f>
        <v>5.351905461159262E-2</v>
      </c>
    </row>
    <row r="105" spans="1:18" x14ac:dyDescent="0.3">
      <c r="A105" t="s">
        <v>11</v>
      </c>
      <c r="B105" s="4">
        <f>B85/B64</f>
        <v>0.14239977728285078</v>
      </c>
      <c r="C105" s="4">
        <f>(SQRT(C85^2-(B105^2*C64^2)))/B64</f>
        <v>8.1826981899697462E-2</v>
      </c>
      <c r="D105" s="4">
        <f>D85/D64</f>
        <v>0.1293774319066148</v>
      </c>
      <c r="E105" s="4">
        <f>(SQRT(E85^2-(D105^2*E64^2)))/D64</f>
        <v>8.8169132757902738E-2</v>
      </c>
      <c r="F105" s="4">
        <f t="shared" ref="F105:H105" si="64">F85/F64</f>
        <v>0.11646698244636389</v>
      </c>
      <c r="G105" s="4">
        <f t="shared" ref="G105" si="65">(SQRT(G85^2-(F105^2*G64^2)))/F64</f>
        <v>7.8747502018027368E-2</v>
      </c>
      <c r="H105" s="4">
        <f t="shared" si="64"/>
        <v>0.13058460076045628</v>
      </c>
      <c r="I105" s="4">
        <f t="shared" ref="I105" si="66">(SQRT(I85^2-(H105^2*I64^2)))/H64</f>
        <v>7.2874753598197617E-2</v>
      </c>
      <c r="J105" s="4">
        <f t="shared" ref="J105" si="67">J85/J64</f>
        <v>7.2465451167111838E-2</v>
      </c>
      <c r="K105" s="4">
        <f t="shared" ref="K105" si="68">(SQRT(K85^2-(J105^2*K64^2)))/J64</f>
        <v>6.5052337996746742E-2</v>
      </c>
      <c r="L105" s="4">
        <f>L85/L64</f>
        <v>5.3036299898224587E-2</v>
      </c>
      <c r="M105" s="4">
        <f>(SQRT(M85^2-(L105^2*M64^2)))/L64</f>
        <v>3.4053199889125668E-2</v>
      </c>
      <c r="N105" s="4">
        <f t="shared" ref="N105:N107" si="69">N85/N64</f>
        <v>1.6965306900495615E-2</v>
      </c>
      <c r="O105" s="4">
        <f t="shared" ref="O105:O107" si="70">(SQRT(O85^2-(N105^2*O64^2)))/N64</f>
        <v>1.7770653198813144E-2</v>
      </c>
      <c r="P105" s="4">
        <f t="shared" ref="P105:P107" si="71">P85/P64</f>
        <v>0.14391707583196944</v>
      </c>
      <c r="Q105" s="4">
        <f t="shared" ref="Q105:Q107" si="72">(SQRT(Q85^2-(P105^2*Q64^2)))/P64</f>
        <v>0.12313617735486466</v>
      </c>
    </row>
    <row r="106" spans="1:18" x14ac:dyDescent="0.3">
      <c r="A106" t="s">
        <v>13</v>
      </c>
      <c r="B106" s="4">
        <f>B86/B65</f>
        <v>0.28680533995653523</v>
      </c>
      <c r="C106" s="4">
        <f>(SQRT(C86^2-(B106^2*C65^2)))/B65</f>
        <v>4.2605807571710438E-2</v>
      </c>
      <c r="D106" s="4">
        <f>D86/D65</f>
        <v>0.24304144024557184</v>
      </c>
      <c r="E106" s="4">
        <f>(SQRT(E86^2-(D106^2*E65^2)))/D65</f>
        <v>3.6144336043303353E-2</v>
      </c>
      <c r="F106" s="4">
        <f t="shared" ref="F106:H106" si="73">F86/F65</f>
        <v>0.20213870571894763</v>
      </c>
      <c r="G106" s="4">
        <f t="shared" ref="G106" si="74">(SQRT(G86^2-(F106^2*G65^2)))/F65</f>
        <v>3.932176803538466E-2</v>
      </c>
      <c r="H106" s="4">
        <f t="shared" si="73"/>
        <v>0.17850102586796476</v>
      </c>
      <c r="I106" s="4">
        <f t="shared" ref="I106" si="75">(SQRT(I86^2-(H106^2*I65^2)))/H65</f>
        <v>3.3579961574653532E-2</v>
      </c>
      <c r="J106" s="4">
        <f t="shared" ref="J106" si="76">J86/J65</f>
        <v>0.16714608588452845</v>
      </c>
      <c r="K106" s="4">
        <f t="shared" ref="K106" si="77">(SQRT(K86^2-(J106^2*K65^2)))/J65</f>
        <v>4.1324388428571862E-2</v>
      </c>
      <c r="L106" s="4">
        <f>L86/L65</f>
        <v>0.19490340291086133</v>
      </c>
      <c r="M106" s="4">
        <f>(SQRT(M86^2-(L106^2*M65^2)))/L65</f>
        <v>3.2313146830605717E-2</v>
      </c>
      <c r="N106" s="4">
        <f t="shared" si="69"/>
        <v>0.13340566635782902</v>
      </c>
      <c r="O106" s="4">
        <f t="shared" si="70"/>
        <v>3.0748687250020258E-2</v>
      </c>
      <c r="P106" s="4">
        <f t="shared" si="71"/>
        <v>0.14557615041938263</v>
      </c>
      <c r="Q106" s="4">
        <f t="shared" si="72"/>
        <v>3.1108797737876188E-2</v>
      </c>
    </row>
    <row r="107" spans="1:18" x14ac:dyDescent="0.3">
      <c r="A107" t="s">
        <v>15</v>
      </c>
      <c r="B107" s="4">
        <f>B87/B66</f>
        <v>7.1286864611639966E-2</v>
      </c>
      <c r="C107" s="4">
        <f>(SQRT(C87^2-(B107^2*C66^2)))/B66</f>
        <v>2.8454638431376172E-2</v>
      </c>
      <c r="D107" s="4">
        <f>D87/D66</f>
        <v>5.2902487846725764E-2</v>
      </c>
      <c r="E107" s="4">
        <f>(SQRT(E87^2-(D107^2*E66^2)))/D66</f>
        <v>2.0264604320160157E-2</v>
      </c>
      <c r="F107" s="4">
        <f t="shared" ref="F107:H107" si="78">F87/F66</f>
        <v>3.6919224391729552E-2</v>
      </c>
      <c r="G107" s="4">
        <f t="shared" ref="G107" si="79">(SQRT(G87^2-(F107^2*G66^2)))/F66</f>
        <v>2.8399111106504074E-2</v>
      </c>
      <c r="H107" s="4">
        <f t="shared" si="78"/>
        <v>6.2194735701545281E-2</v>
      </c>
      <c r="I107" s="4">
        <f t="shared" ref="I107" si="80">(SQRT(I87^2-(H107^2*I66^2)))/H66</f>
        <v>2.6546650467978637E-2</v>
      </c>
      <c r="J107" s="4">
        <f t="shared" ref="J107" si="81">J87/J66</f>
        <v>5.6807101307958713E-2</v>
      </c>
      <c r="K107" s="4">
        <f t="shared" ref="K107" si="82">(SQRT(K87^2-(J107^2*K66^2)))/J66</f>
        <v>2.5999643818136142E-2</v>
      </c>
      <c r="L107" s="4">
        <f>L87/L66</f>
        <v>5.459846276172807E-2</v>
      </c>
      <c r="M107" s="4">
        <f>(SQRT(M87^2-(L107^2*M66^2)))/L66</f>
        <v>1.967125518016364E-2</v>
      </c>
      <c r="N107" s="4">
        <f t="shared" si="69"/>
        <v>3.1174095850712766E-2</v>
      </c>
      <c r="O107" s="4">
        <f t="shared" si="70"/>
        <v>1.2431588930720461E-2</v>
      </c>
      <c r="P107" s="4">
        <f t="shared" si="71"/>
        <v>3.4999024643995055E-2</v>
      </c>
      <c r="Q107" s="4">
        <f t="shared" si="72"/>
        <v>1.9638829145126178E-2</v>
      </c>
    </row>
    <row r="108" spans="1:18" x14ac:dyDescent="0.3">
      <c r="B108" s="4"/>
      <c r="C108" s="4"/>
      <c r="D108" s="4"/>
      <c r="E108" s="4"/>
      <c r="F108" s="4"/>
      <c r="G108" s="4"/>
      <c r="H108" s="4"/>
      <c r="I108" s="4"/>
      <c r="J108" s="4"/>
      <c r="K108" s="4"/>
    </row>
    <row r="109" spans="1:18" x14ac:dyDescent="0.3">
      <c r="A109" s="5" t="s">
        <v>8</v>
      </c>
      <c r="B109" s="5">
        <v>2009</v>
      </c>
      <c r="C109" s="5" t="s">
        <v>26</v>
      </c>
      <c r="D109" s="5">
        <v>2010</v>
      </c>
      <c r="E109" s="5" t="s">
        <v>26</v>
      </c>
      <c r="F109" s="5">
        <v>2011</v>
      </c>
      <c r="G109" s="5" t="s">
        <v>26</v>
      </c>
      <c r="H109" s="5">
        <v>2012</v>
      </c>
      <c r="I109" s="5" t="s">
        <v>26</v>
      </c>
      <c r="J109" s="5">
        <v>2013</v>
      </c>
      <c r="K109" s="5" t="s">
        <v>26</v>
      </c>
      <c r="L109">
        <v>2014</v>
      </c>
      <c r="M109" t="s">
        <v>26</v>
      </c>
      <c r="N109">
        <v>2015</v>
      </c>
      <c r="O109" t="s">
        <v>26</v>
      </c>
      <c r="P109">
        <v>2016</v>
      </c>
      <c r="Q109" t="s">
        <v>26</v>
      </c>
    </row>
    <row r="110" spans="1:18" x14ac:dyDescent="0.3">
      <c r="A110" t="s">
        <v>17</v>
      </c>
      <c r="B110" s="7">
        <f>B90/B69</f>
        <v>0.17011463370947519</v>
      </c>
      <c r="C110" s="4">
        <f>(SQRT(C90^2-(B110^2*C69^2)))/B69</f>
        <v>7.1999706630965138E-2</v>
      </c>
      <c r="D110" s="7">
        <f>D90/D69</f>
        <v>6.0947429231658003E-2</v>
      </c>
      <c r="E110" s="4">
        <f>(SQRT(E90^2-(D110^2*E69^2)))/D69</f>
        <v>2.8230720321458291E-2</v>
      </c>
      <c r="F110" s="7">
        <f>F90/F69</f>
        <v>0.16278336290163611</v>
      </c>
      <c r="G110" s="4">
        <f>(SQRT(G90^2-(F110^2*G69^2)))/F69</f>
        <v>9.1119872442441824E-2</v>
      </c>
      <c r="H110" s="7">
        <f>H90/H69</f>
        <v>8.5280080381813617E-2</v>
      </c>
      <c r="I110" s="4">
        <f>(SQRT(I90^2-(H110^2*I69^2)))/H69</f>
        <v>4.766519443786791E-2</v>
      </c>
      <c r="J110" s="7">
        <f>J90/J69</f>
        <v>1.9031224597140534E-2</v>
      </c>
      <c r="K110" s="4">
        <f>(SQRT(K90^2-(J110^2*K69^2)))/J69</f>
        <v>1.6363530210725102E-2</v>
      </c>
      <c r="L110" s="7">
        <f>L90/L69</f>
        <v>4.4154126012898962E-2</v>
      </c>
      <c r="M110" s="4">
        <f>(SQRT(M90^2-(L110^2*M69^2)))/L69</f>
        <v>2.3014681891198176E-2</v>
      </c>
      <c r="N110" s="4">
        <f>N90/N69</f>
        <v>6.8222471816631311E-2</v>
      </c>
      <c r="O110" s="4">
        <f>(SQRT(O90^2-(N110^2*O69^2)))/N69</f>
        <v>4.0451814915513001E-2</v>
      </c>
      <c r="P110" s="4">
        <f>P90/P69</f>
        <v>8.9638494958603168E-2</v>
      </c>
      <c r="Q110" s="4">
        <f>(SQRT(Q90^2-(P110^2*Q69^2)))/P69</f>
        <v>4.3182669249640419E-2</v>
      </c>
    </row>
    <row r="111" spans="1:18" x14ac:dyDescent="0.3">
      <c r="A111" t="s">
        <v>11</v>
      </c>
      <c r="B111" s="7">
        <f>B91/B70</f>
        <v>0.11493789320858203</v>
      </c>
      <c r="C111" s="4">
        <f t="shared" ref="C111" si="83">(SQRT(C91^2-(B111^2*C70^2)))/B70</f>
        <v>5.6306101304176716E-2</v>
      </c>
      <c r="D111" s="7">
        <f>D91/D70</f>
        <v>0.11142686209991026</v>
      </c>
      <c r="E111" s="4">
        <f t="shared" ref="E111" si="84">(SQRT(E91^2-(D111^2*E70^2)))/D70</f>
        <v>6.011070957603281E-2</v>
      </c>
      <c r="F111" s="7">
        <f t="shared" ref="F111" si="85">F91/F70</f>
        <v>9.8903043170559091E-2</v>
      </c>
      <c r="G111" s="4">
        <f t="shared" ref="G111" si="86">(SQRT(G91^2-(F111^2*G70^2)))/F70</f>
        <v>5.5497484532600505E-2</v>
      </c>
      <c r="H111" s="7">
        <f t="shared" ref="H111" si="87">H91/H70</f>
        <v>0.11797423887587823</v>
      </c>
      <c r="I111" s="4">
        <f t="shared" ref="I111" si="88">(SQRT(I91^2-(H111^2*I70^2)))/H70</f>
        <v>5.7394738628455524E-2</v>
      </c>
      <c r="J111" s="7">
        <f t="shared" ref="J111" si="89">J91/J70</f>
        <v>6.3357282821685179E-2</v>
      </c>
      <c r="K111" s="4">
        <f t="shared" ref="K111" si="90">(SQRT(K91^2-(J111^2*K70^2)))/J70</f>
        <v>4.549044918039221E-2</v>
      </c>
      <c r="L111" s="7">
        <f>L91/L70</f>
        <v>4.556268473794247E-2</v>
      </c>
      <c r="M111" s="4">
        <f>(SQRT(M91^2-(L111^2*M70^2)))/L70</f>
        <v>2.5539073785510593E-2</v>
      </c>
      <c r="N111" s="4">
        <f t="shared" ref="N111:N113" si="91">N91/N70</f>
        <v>2.9101726702451012E-2</v>
      </c>
      <c r="O111" s="4">
        <f t="shared" ref="O111:O113" si="92">(SQRT(O91^2-(N111^2*O70^2)))/N70</f>
        <v>2.332328007054503E-2</v>
      </c>
      <c r="P111" s="4">
        <f t="shared" ref="P111:P113" si="93">P91/P70</f>
        <v>0.12419548765825023</v>
      </c>
      <c r="Q111" s="4">
        <f t="shared" ref="Q111:Q113" si="94">(SQRT(Q91^2-(P111^2*Q70^2)))/P70</f>
        <v>8.7171358702280682E-2</v>
      </c>
    </row>
    <row r="112" spans="1:18" x14ac:dyDescent="0.3">
      <c r="A112" t="s">
        <v>13</v>
      </c>
      <c r="B112" s="7">
        <f>B92/B71</f>
        <v>0.24068321607150758</v>
      </c>
      <c r="C112" s="4">
        <f t="shared" ref="C112" si="95">(SQRT(C92^2-(B112^2*C71^2)))/B71</f>
        <v>2.8935733763265758E-2</v>
      </c>
      <c r="D112" s="7">
        <f>D92/D71</f>
        <v>0.18428843490304708</v>
      </c>
      <c r="E112" s="4">
        <f t="shared" ref="E112" si="96">(SQRT(E92^2-(D112^2*E71^2)))/D71</f>
        <v>2.5288069886397875E-2</v>
      </c>
      <c r="F112" s="7">
        <f t="shared" ref="F112" si="97">F92/F71</f>
        <v>0.15091749987522668</v>
      </c>
      <c r="G112" s="4">
        <f t="shared" ref="G112" si="98">(SQRT(G92^2-(F112^2*G71^2)))/F71</f>
        <v>2.6810771152056625E-2</v>
      </c>
      <c r="H112" s="7">
        <f t="shared" ref="H112" si="99">H92/H71</f>
        <v>0.13654615209545795</v>
      </c>
      <c r="I112" s="4">
        <f t="shared" ref="I112" si="100">(SQRT(I92^2-(H112^2*I71^2)))/H71</f>
        <v>2.2197129235717355E-2</v>
      </c>
      <c r="J112" s="7">
        <f t="shared" ref="J112" si="101">J92/J71</f>
        <v>0.14266208275424866</v>
      </c>
      <c r="K112" s="4">
        <f t="shared" ref="K112" si="102">(SQRT(K92^2-(J112^2*K71^2)))/J71</f>
        <v>2.8983461098225811E-2</v>
      </c>
      <c r="L112" s="7">
        <f>L92/L71</f>
        <v>0.17039698480398827</v>
      </c>
      <c r="M112" s="4">
        <f>(SQRT(M92^2-(L112^2*M71^2)))/L71</f>
        <v>2.337450355196543E-2</v>
      </c>
      <c r="N112" s="4">
        <f t="shared" si="91"/>
        <v>0.1187110467004031</v>
      </c>
      <c r="O112" s="4">
        <f t="shared" si="92"/>
        <v>2.465728306467007E-2</v>
      </c>
      <c r="P112" s="4">
        <f t="shared" si="93"/>
        <v>0.12464755266909552</v>
      </c>
      <c r="Q112" s="4">
        <f t="shared" si="94"/>
        <v>2.3124804659436275E-2</v>
      </c>
    </row>
    <row r="113" spans="1:17" x14ac:dyDescent="0.3">
      <c r="A113" t="s">
        <v>15</v>
      </c>
      <c r="B113" s="7">
        <f>B93/B72</f>
        <v>6.1633315073201647E-2</v>
      </c>
      <c r="C113" s="4">
        <f t="shared" ref="C113" si="103">(SQRT(C93^2-(B113^2*C72^2)))/B72</f>
        <v>2.0259410132531824E-2</v>
      </c>
      <c r="D113" s="7">
        <f>D93/D72</f>
        <v>4.767268548543082E-2</v>
      </c>
      <c r="E113" s="4">
        <f t="shared" ref="E113" si="104">(SQRT(E93^2-(D113^2*E72^2)))/D72</f>
        <v>1.5362994964127592E-2</v>
      </c>
      <c r="F113" s="7">
        <f t="shared" ref="F113" si="105">F93/F72</f>
        <v>3.695758491908234E-2</v>
      </c>
      <c r="G113" s="4">
        <f t="shared" ref="G113" si="106">(SQRT(G93^2-(F113^2*G72^2)))/F72</f>
        <v>2.2857317295425696E-2</v>
      </c>
      <c r="H113" s="7">
        <f t="shared" ref="H113" si="107">H93/H72</f>
        <v>5.2886389787455766E-2</v>
      </c>
      <c r="I113" s="4">
        <f t="shared" ref="I113" si="108">(SQRT(I93^2-(H113^2*I72^2)))/H72</f>
        <v>1.8536448587552361E-2</v>
      </c>
      <c r="J113" s="7">
        <f t="shared" ref="J113" si="109">J93/J72</f>
        <v>4.7761161752143684E-2</v>
      </c>
      <c r="K113" s="4">
        <f t="shared" ref="K113" si="110">(SQRT(K93^2-(J113^2*K72^2)))/J72</f>
        <v>1.8252705872907522E-2</v>
      </c>
      <c r="L113" s="7">
        <f>L93/L72</f>
        <v>4.8180283375718592E-2</v>
      </c>
      <c r="M113" s="4">
        <f>(SQRT(M93^2-(L113^2*M72^2)))/L72</f>
        <v>1.3712791621683E-2</v>
      </c>
      <c r="N113" s="4">
        <f t="shared" si="91"/>
        <v>3.4734414993759649E-2</v>
      </c>
      <c r="O113" s="4">
        <f t="shared" si="92"/>
        <v>1.2255595331948409E-2</v>
      </c>
      <c r="P113" s="4">
        <f t="shared" si="93"/>
        <v>2.527735161818884E-2</v>
      </c>
      <c r="Q113" s="4">
        <f t="shared" si="94"/>
        <v>1.2946985924610733E-2</v>
      </c>
    </row>
    <row r="114" spans="1:17" x14ac:dyDescent="0.3">
      <c r="A114" t="s">
        <v>2</v>
      </c>
      <c r="B114" s="8"/>
      <c r="C114" s="8"/>
      <c r="D114" s="8"/>
      <c r="E114" s="8"/>
      <c r="F114" s="8"/>
      <c r="G114" s="8"/>
      <c r="H114" s="8"/>
      <c r="I114" s="8"/>
      <c r="J114" s="9"/>
      <c r="K114" s="8"/>
    </row>
  </sheetData>
  <mergeCells count="102">
    <mergeCell ref="A13:C13"/>
    <mergeCell ref="D13:G13"/>
    <mergeCell ref="H13:K13"/>
    <mergeCell ref="N12:O12"/>
    <mergeCell ref="A5:D5"/>
    <mergeCell ref="A6:D6"/>
    <mergeCell ref="B7:E8"/>
    <mergeCell ref="B9:E10"/>
    <mergeCell ref="D12:F12"/>
    <mergeCell ref="A16:C16"/>
    <mergeCell ref="D16:F16"/>
    <mergeCell ref="H16:J16"/>
    <mergeCell ref="A17:C17"/>
    <mergeCell ref="D17:F17"/>
    <mergeCell ref="H17:J17"/>
    <mergeCell ref="D14:F14"/>
    <mergeCell ref="H14:J14"/>
    <mergeCell ref="A15:C15"/>
    <mergeCell ref="D15:F15"/>
    <mergeCell ref="H15:J15"/>
    <mergeCell ref="A20:C20"/>
    <mergeCell ref="D20:F20"/>
    <mergeCell ref="H20:J20"/>
    <mergeCell ref="A21:C21"/>
    <mergeCell ref="D21:F21"/>
    <mergeCell ref="H21:J21"/>
    <mergeCell ref="A18:C18"/>
    <mergeCell ref="D18:F18"/>
    <mergeCell ref="H18:J18"/>
    <mergeCell ref="A19:C19"/>
    <mergeCell ref="D19:F19"/>
    <mergeCell ref="H19:J19"/>
    <mergeCell ref="A24:C24"/>
    <mergeCell ref="D24:F24"/>
    <mergeCell ref="H24:J24"/>
    <mergeCell ref="Q24:V27"/>
    <mergeCell ref="A25:C25"/>
    <mergeCell ref="D25:F25"/>
    <mergeCell ref="H25:J25"/>
    <mergeCell ref="A22:C22"/>
    <mergeCell ref="D22:F22"/>
    <mergeCell ref="H22:J22"/>
    <mergeCell ref="A23:C23"/>
    <mergeCell ref="D23:F23"/>
    <mergeCell ref="H23:J23"/>
    <mergeCell ref="A27:C27"/>
    <mergeCell ref="D27:F27"/>
    <mergeCell ref="H27:J27"/>
    <mergeCell ref="A28:C28"/>
    <mergeCell ref="D28:F28"/>
    <mergeCell ref="H28:J28"/>
    <mergeCell ref="A26:C26"/>
    <mergeCell ref="D26:F26"/>
    <mergeCell ref="H26:J26"/>
    <mergeCell ref="H33:J33"/>
    <mergeCell ref="A30:C30"/>
    <mergeCell ref="D30:F30"/>
    <mergeCell ref="H30:J30"/>
    <mergeCell ref="A31:C31"/>
    <mergeCell ref="D31:F31"/>
    <mergeCell ref="H31:J31"/>
    <mergeCell ref="R28:V28"/>
    <mergeCell ref="A29:C29"/>
    <mergeCell ref="D29:F29"/>
    <mergeCell ref="H29:J29"/>
    <mergeCell ref="R29:V29"/>
    <mergeCell ref="R37:T37"/>
    <mergeCell ref="R35:T35"/>
    <mergeCell ref="A36:C36"/>
    <mergeCell ref="D36:F36"/>
    <mergeCell ref="H36:J36"/>
    <mergeCell ref="R36:T36"/>
    <mergeCell ref="A34:C34"/>
    <mergeCell ref="D34:F34"/>
    <mergeCell ref="H34:J34"/>
    <mergeCell ref="A35:C35"/>
    <mergeCell ref="D35:F35"/>
    <mergeCell ref="H35:J35"/>
    <mergeCell ref="A42:C42"/>
    <mergeCell ref="D42:F42"/>
    <mergeCell ref="H42:J42"/>
    <mergeCell ref="L12:M12"/>
    <mergeCell ref="A40:C40"/>
    <mergeCell ref="D40:F40"/>
    <mergeCell ref="H40:J40"/>
    <mergeCell ref="A41:C41"/>
    <mergeCell ref="D41:F41"/>
    <mergeCell ref="H41:J41"/>
    <mergeCell ref="A38:C38"/>
    <mergeCell ref="D38:F38"/>
    <mergeCell ref="H38:J38"/>
    <mergeCell ref="A39:C39"/>
    <mergeCell ref="D39:F39"/>
    <mergeCell ref="H39:J39"/>
    <mergeCell ref="A37:C37"/>
    <mergeCell ref="D37:F37"/>
    <mergeCell ref="H37:J37"/>
    <mergeCell ref="A32:C32"/>
    <mergeCell ref="D32:F32"/>
    <mergeCell ref="H32:J32"/>
    <mergeCell ref="A33:C33"/>
    <mergeCell ref="D33:F33"/>
  </mergeCells>
  <conditionalFormatting sqref="U35:U37">
    <cfRule type="cellIs" dxfId="0" priority="1" operator="equal">
      <formula>"Significant"</formula>
    </cfRule>
  </conditionalFormatting>
  <pageMargins left="0.75" right="0.75" top="1" bottom="1" header="0.5" footer="0.5"/>
  <pageSetup orientation="portrait" horizontalDpi="4294967292" verticalDpi="4294967292" r:id="rId1"/>
  <ignoredErrors>
    <ignoredError sqref="C69:C72 E69:E72 G69:G72 I69:I72 C90:C93 E90:E93 G90:G93 I90:I93 C98:C101 E98:E101 G98:G101 I98:I101 C104:C107 E104:E107 G104:G107 I104:I10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vt:lpstr>
      <vt:lpstr>Total MOE</vt:lpstr>
      <vt:lpstr>Race</vt:lpstr>
      <vt:lpstr>Race MOE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Soto</dc:creator>
  <cp:lastModifiedBy>CAN 4</cp:lastModifiedBy>
  <dcterms:created xsi:type="dcterms:W3CDTF">2014-03-03T18:13:03Z</dcterms:created>
  <dcterms:modified xsi:type="dcterms:W3CDTF">2022-03-29T17:17:52Z</dcterms:modified>
</cp:coreProperties>
</file>