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drawings/drawing5.xml" ContentType="application/vnd.openxmlformats-officedocument.drawing+xml"/>
  <Override PartName="/xl/charts/chart14.xml" ContentType="application/vnd.openxmlformats-officedocument.drawingml.chart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9.xml" ContentType="application/vnd.openxmlformats-officedocument.drawing+xml"/>
  <Override PartName="/xl/tables/table1.xml" ContentType="application/vnd.openxmlformats-officedocument.spreadsheetml.table+xml"/>
  <Override PartName="/xl/charts/chart25.xml" ContentType="application/vnd.openxmlformats-officedocument.drawingml.chart+xml"/>
  <Override PartName="/xl/drawings/drawing10.xml" ContentType="application/vnd.openxmlformats-officedocument.drawing+xml"/>
  <Override PartName="/xl/tables/table2.xml" ContentType="application/vnd.openxmlformats-officedocument.spreadsheetml.table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AN 4\Documents\Dashboards\RB21\2022\Demographics +\For Upload\"/>
    </mc:Choice>
  </mc:AlternateContent>
  <xr:revisionPtr revIDLastSave="0" documentId="8_{1BD5ECE1-898A-4ED6-8519-31355126E31C}" xr6:coauthVersionLast="47" xr6:coauthVersionMax="47" xr10:uidLastSave="{00000000-0000-0000-0000-000000000000}"/>
  <bookViews>
    <workbookView xWindow="-108" yWindow="-108" windowWidth="23256" windowHeight="12720" tabRatio="500" firstSheet="3" activeTab="5" xr2:uid="{00000000-000D-0000-FFFF-FFFF00000000}"/>
  </bookViews>
  <sheets>
    <sheet name="Travis County Pop # &amp; %" sheetId="1" r:id="rId1"/>
    <sheet name="Race-Ethnicity Travis 2018" sheetId="14" r:id="rId2"/>
    <sheet name="Under 18 Poverty" sheetId="5" r:id="rId3"/>
    <sheet name="Austin MSA Poverty" sheetId="6" r:id="rId4"/>
    <sheet name="Children by Family Type" sheetId="13" r:id="rId5"/>
    <sheet name="Where Children Live" sheetId="10" r:id="rId6"/>
    <sheet name="Poverty by Family Type" sheetId="12" r:id="rId7"/>
    <sheet name="Language" sheetId="8" r:id="rId8"/>
    <sheet name="Households over Time" sheetId="15" r:id="rId9"/>
    <sheet name="Travis County below Poverty Rac" sheetId="1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0" l="1"/>
  <c r="F16" i="10"/>
  <c r="E16" i="10"/>
  <c r="D16" i="10"/>
  <c r="C16" i="10"/>
  <c r="G16" i="10" s="1"/>
  <c r="O7" i="15"/>
  <c r="O6" i="15"/>
  <c r="O5" i="15"/>
  <c r="O3" i="15"/>
  <c r="O4" i="15"/>
  <c r="N7" i="15"/>
  <c r="N6" i="15"/>
  <c r="N5" i="15"/>
  <c r="N3" i="15"/>
  <c r="N4" i="15"/>
  <c r="M7" i="15"/>
  <c r="M6" i="15"/>
  <c r="M5" i="15"/>
  <c r="M3" i="15"/>
  <c r="M4" i="15"/>
  <c r="L7" i="15"/>
  <c r="L6" i="15"/>
  <c r="L5" i="15"/>
  <c r="L3" i="15"/>
  <c r="L4" i="15"/>
  <c r="K7" i="15"/>
  <c r="K6" i="15"/>
  <c r="K5" i="15"/>
  <c r="K3" i="15"/>
  <c r="K4" i="15"/>
  <c r="J7" i="15"/>
  <c r="J6" i="15"/>
  <c r="J5" i="15"/>
  <c r="J3" i="15"/>
  <c r="J4" i="15"/>
  <c r="G17" i="8"/>
  <c r="F17" i="8"/>
  <c r="E17" i="8"/>
  <c r="D17" i="8"/>
  <c r="C17" i="8"/>
  <c r="H104" i="12"/>
  <c r="H103" i="12"/>
  <c r="H102" i="12"/>
  <c r="H93" i="12"/>
  <c r="H92" i="12"/>
  <c r="H91" i="12"/>
  <c r="H81" i="12"/>
  <c r="H80" i="12"/>
  <c r="H79" i="12"/>
  <c r="H69" i="12"/>
  <c r="H68" i="12"/>
  <c r="H67" i="12"/>
  <c r="H45" i="12"/>
  <c r="H44" i="12"/>
  <c r="H43" i="12"/>
  <c r="H57" i="12"/>
  <c r="H56" i="12"/>
  <c r="H55" i="12"/>
  <c r="H33" i="12"/>
  <c r="H32" i="12"/>
  <c r="H31" i="12"/>
  <c r="H21" i="12"/>
  <c r="H20" i="12"/>
  <c r="H19" i="12"/>
  <c r="V39" i="12"/>
  <c r="V40" i="12"/>
  <c r="V34" i="12"/>
  <c r="V35" i="12"/>
  <c r="V29" i="12"/>
  <c r="V30" i="12"/>
  <c r="V24" i="12"/>
  <c r="V25" i="12"/>
  <c r="V38" i="12"/>
  <c r="V33" i="12"/>
  <c r="V28" i="12"/>
  <c r="V23" i="12"/>
  <c r="W39" i="12"/>
  <c r="W40" i="12"/>
  <c r="W38" i="12"/>
  <c r="W34" i="12"/>
  <c r="W35" i="12"/>
  <c r="W33" i="12"/>
  <c r="W29" i="12"/>
  <c r="W30" i="12"/>
  <c r="W28" i="12"/>
  <c r="W24" i="12"/>
  <c r="W25" i="12"/>
  <c r="W23" i="12"/>
  <c r="X39" i="12"/>
  <c r="X40" i="12"/>
  <c r="X38" i="12"/>
  <c r="X34" i="12"/>
  <c r="X35" i="12"/>
  <c r="X33" i="12"/>
  <c r="X29" i="12"/>
  <c r="X30" i="12"/>
  <c r="X28" i="12"/>
  <c r="X24" i="12"/>
  <c r="X25" i="12"/>
  <c r="X23" i="12"/>
  <c r="Y39" i="12"/>
  <c r="Y40" i="12"/>
  <c r="Y38" i="12"/>
  <c r="Y34" i="12"/>
  <c r="Y35" i="12"/>
  <c r="Y33" i="12"/>
  <c r="Y29" i="12"/>
  <c r="Y30" i="12"/>
  <c r="Y28" i="12"/>
  <c r="Y24" i="12"/>
  <c r="Y25" i="12"/>
  <c r="Y23" i="12"/>
  <c r="AA39" i="12"/>
  <c r="AA40" i="12"/>
  <c r="AA38" i="12"/>
  <c r="AA34" i="12"/>
  <c r="AA35" i="12"/>
  <c r="AA33" i="12"/>
  <c r="AA29" i="12"/>
  <c r="AA30" i="12"/>
  <c r="AA28" i="12"/>
  <c r="AA24" i="12"/>
  <c r="AA25" i="12"/>
  <c r="AA23" i="12"/>
  <c r="Z24" i="12"/>
  <c r="Z25" i="12"/>
  <c r="Z23" i="12"/>
  <c r="Z39" i="12"/>
  <c r="Z40" i="12"/>
  <c r="Z38" i="12"/>
  <c r="Z34" i="12"/>
  <c r="Z35" i="12"/>
  <c r="Z33" i="12"/>
  <c r="Z29" i="12"/>
  <c r="Z30" i="12"/>
  <c r="Z28" i="12"/>
  <c r="D37" i="12" l="1"/>
  <c r="D38" i="12"/>
  <c r="D36" i="12"/>
  <c r="F26" i="12" l="1"/>
  <c r="F25" i="12"/>
  <c r="F24" i="12"/>
  <c r="F21" i="12"/>
  <c r="F20" i="12"/>
  <c r="F19" i="12"/>
  <c r="F38" i="12"/>
  <c r="F37" i="12"/>
  <c r="F36" i="12"/>
  <c r="F33" i="12"/>
  <c r="F32" i="12"/>
  <c r="F31" i="12"/>
  <c r="F50" i="12"/>
  <c r="F49" i="12"/>
  <c r="F48" i="12"/>
  <c r="F45" i="12"/>
  <c r="F44" i="12"/>
  <c r="F43" i="12"/>
  <c r="E62" i="16"/>
  <c r="D62" i="16"/>
  <c r="E54" i="16"/>
  <c r="D54" i="16"/>
  <c r="E53" i="16"/>
  <c r="D53" i="16"/>
  <c r="E52" i="16"/>
  <c r="D52" i="16"/>
  <c r="E51" i="16"/>
  <c r="D51" i="16"/>
  <c r="E50" i="16"/>
  <c r="D50" i="16"/>
  <c r="E49" i="16"/>
  <c r="D49" i="16"/>
  <c r="E48" i="16"/>
  <c r="D48" i="16"/>
  <c r="E45" i="16"/>
  <c r="D45" i="16"/>
  <c r="E44" i="16"/>
  <c r="D44" i="16"/>
  <c r="E43" i="16"/>
  <c r="D43" i="16"/>
  <c r="E42" i="16"/>
  <c r="D42" i="16"/>
  <c r="E41" i="16"/>
  <c r="D41" i="16"/>
  <c r="E40" i="16"/>
  <c r="D40" i="16"/>
  <c r="E39" i="16"/>
  <c r="D39" i="16"/>
  <c r="E36" i="16"/>
  <c r="D36" i="16"/>
  <c r="E35" i="16"/>
  <c r="D35" i="16"/>
  <c r="E34" i="16"/>
  <c r="D34" i="16"/>
  <c r="E33" i="16"/>
  <c r="D33" i="16"/>
  <c r="E32" i="16"/>
  <c r="D32" i="16"/>
  <c r="E31" i="16"/>
  <c r="D31" i="16"/>
  <c r="E30" i="16"/>
  <c r="D30" i="16"/>
  <c r="I7" i="15"/>
  <c r="H7" i="15"/>
  <c r="G7" i="15"/>
  <c r="F7" i="15"/>
  <c r="E7" i="15"/>
  <c r="D7" i="15"/>
  <c r="I6" i="15"/>
  <c r="I5" i="15"/>
  <c r="I4" i="15"/>
  <c r="I3" i="15"/>
  <c r="D20" i="10" l="1"/>
  <c r="E20" i="10"/>
  <c r="F20" i="10"/>
  <c r="D13" i="10"/>
  <c r="E13" i="10"/>
  <c r="F13" i="10"/>
  <c r="D14" i="10"/>
  <c r="E14" i="10"/>
  <c r="F14" i="10"/>
  <c r="D15" i="10"/>
  <c r="E15" i="10"/>
  <c r="F15" i="10"/>
  <c r="C20" i="10"/>
  <c r="C14" i="10"/>
  <c r="C15" i="10"/>
  <c r="I9" i="14"/>
  <c r="K10" i="14"/>
  <c r="J10" i="14"/>
  <c r="I10" i="14"/>
  <c r="H10" i="14"/>
  <c r="C10" i="14"/>
  <c r="H9" i="14" s="1"/>
  <c r="K9" i="14"/>
  <c r="J9" i="14"/>
  <c r="C9" i="14"/>
  <c r="K8" i="14"/>
  <c r="J8" i="14"/>
  <c r="I8" i="14"/>
  <c r="C8" i="14"/>
  <c r="H8" i="14" s="1"/>
  <c r="K7" i="14"/>
  <c r="J7" i="14"/>
  <c r="I7" i="14"/>
  <c r="C7" i="14"/>
  <c r="H7" i="14" s="1"/>
  <c r="K6" i="14"/>
  <c r="J6" i="14"/>
  <c r="I6" i="14"/>
  <c r="H6" i="14"/>
  <c r="C6" i="14"/>
  <c r="B114" i="14"/>
  <c r="C114" i="14" s="1"/>
  <c r="C111" i="14"/>
  <c r="C110" i="14"/>
  <c r="C109" i="14"/>
  <c r="C108" i="14"/>
  <c r="C101" i="14"/>
  <c r="K68" i="14" s="1"/>
  <c r="C100" i="14"/>
  <c r="K69" i="14" s="1"/>
  <c r="C99" i="14"/>
  <c r="J78" i="14" s="1"/>
  <c r="C98" i="14"/>
  <c r="J77" i="14" s="1"/>
  <c r="C97" i="14"/>
  <c r="J76" i="14" s="1"/>
  <c r="C90" i="14"/>
  <c r="I79" i="14" s="1"/>
  <c r="C89" i="14"/>
  <c r="I80" i="14" s="1"/>
  <c r="C88" i="14"/>
  <c r="I78" i="14" s="1"/>
  <c r="C87" i="14"/>
  <c r="I77" i="14" s="1"/>
  <c r="C86" i="14"/>
  <c r="J65" i="14" s="1"/>
  <c r="C79" i="14"/>
  <c r="H79" i="14" s="1"/>
  <c r="C78" i="14"/>
  <c r="H80" i="14" s="1"/>
  <c r="C77" i="14"/>
  <c r="H78" i="14" s="1"/>
  <c r="C76" i="14"/>
  <c r="H77" i="14" s="1"/>
  <c r="C75" i="14"/>
  <c r="H76" i="14" s="1"/>
  <c r="J69" i="14"/>
  <c r="C69" i="14"/>
  <c r="H68" i="14" s="1"/>
  <c r="C68" i="14"/>
  <c r="H69" i="14" s="1"/>
  <c r="C67" i="14"/>
  <c r="H67" i="14" s="1"/>
  <c r="C66" i="14"/>
  <c r="H66" i="14" s="1"/>
  <c r="K65" i="14"/>
  <c r="C65" i="14"/>
  <c r="H65" i="14" s="1"/>
  <c r="C49" i="14"/>
  <c r="C50" i="14"/>
  <c r="C51" i="14"/>
  <c r="C52" i="14"/>
  <c r="B55" i="14"/>
  <c r="C55" i="14" s="1"/>
  <c r="B110" i="14" s="1"/>
  <c r="C123" i="14"/>
  <c r="C124" i="14"/>
  <c r="C125" i="14"/>
  <c r="C126" i="14"/>
  <c r="B127" i="14"/>
  <c r="C127" i="14" s="1"/>
  <c r="C133" i="14"/>
  <c r="C134" i="14"/>
  <c r="C135" i="14"/>
  <c r="C136" i="14"/>
  <c r="B137" i="14"/>
  <c r="C137" i="14" s="1"/>
  <c r="C144" i="14"/>
  <c r="C145" i="14"/>
  <c r="C146" i="14"/>
  <c r="C147" i="14"/>
  <c r="B148" i="14"/>
  <c r="C148" i="14" s="1"/>
  <c r="C155" i="14"/>
  <c r="C156" i="14"/>
  <c r="C157" i="14"/>
  <c r="C158" i="14"/>
  <c r="B159" i="14"/>
  <c r="C159" i="14" s="1"/>
  <c r="C166" i="14"/>
  <c r="C167" i="14"/>
  <c r="C168" i="14"/>
  <c r="C169" i="14"/>
  <c r="B172" i="14"/>
  <c r="C172" i="14" s="1"/>
  <c r="G15" i="10" l="1"/>
  <c r="G20" i="10"/>
  <c r="I68" i="14"/>
  <c r="B108" i="14"/>
  <c r="I67" i="14"/>
  <c r="I76" i="14"/>
  <c r="J67" i="14"/>
  <c r="I65" i="14"/>
  <c r="J80" i="14"/>
  <c r="J68" i="14"/>
  <c r="J79" i="14"/>
  <c r="B109" i="14"/>
  <c r="J66" i="14"/>
  <c r="B111" i="14"/>
  <c r="I69" i="14"/>
  <c r="I66" i="14"/>
  <c r="K67" i="14"/>
  <c r="C112" i="14"/>
  <c r="B112" i="14" s="1"/>
  <c r="K66" i="14"/>
  <c r="C170" i="14"/>
  <c r="B170" i="14" s="1"/>
  <c r="C53" i="14"/>
  <c r="B53" i="14" s="1"/>
  <c r="B52" i="14"/>
  <c r="B169" i="14"/>
  <c r="B51" i="14"/>
  <c r="B167" i="14"/>
  <c r="B49" i="14"/>
  <c r="B168" i="14"/>
  <c r="B50" i="14"/>
  <c r="B166" i="14"/>
  <c r="O14" i="1" l="1"/>
  <c r="O15" i="1"/>
  <c r="O16" i="1"/>
  <c r="O17" i="1"/>
  <c r="O18" i="1"/>
  <c r="O19" i="1"/>
  <c r="O8" i="1"/>
  <c r="E15" i="8"/>
  <c r="D15" i="8"/>
  <c r="G15" i="8"/>
  <c r="F15" i="8"/>
  <c r="C15" i="8"/>
  <c r="C14" i="8"/>
  <c r="N15" i="1" l="1"/>
  <c r="N16" i="1"/>
  <c r="N17" i="1"/>
  <c r="N18" i="1"/>
  <c r="N14" i="1"/>
  <c r="N8" i="1"/>
  <c r="N19" i="1" l="1"/>
  <c r="M19" i="1"/>
  <c r="M8" i="1"/>
  <c r="F62" i="12"/>
  <c r="F61" i="12"/>
  <c r="F60" i="12"/>
  <c r="F57" i="12"/>
  <c r="F56" i="12"/>
  <c r="F55" i="12"/>
  <c r="F67" i="12"/>
  <c r="F68" i="12"/>
  <c r="F69" i="12"/>
  <c r="F72" i="12"/>
  <c r="F74" i="12"/>
  <c r="F73" i="12"/>
  <c r="F86" i="12"/>
  <c r="F85" i="12"/>
  <c r="F84" i="12"/>
  <c r="F81" i="12"/>
  <c r="F80" i="12"/>
  <c r="F79" i="12"/>
  <c r="B9" i="12"/>
  <c r="D36" i="10"/>
  <c r="C36" i="10"/>
  <c r="B36" i="10"/>
  <c r="D35" i="10"/>
  <c r="C35" i="10"/>
  <c r="B35" i="10"/>
  <c r="D34" i="10"/>
  <c r="C34" i="10"/>
  <c r="B34" i="10"/>
  <c r="D33" i="10"/>
  <c r="C33" i="10"/>
  <c r="B33" i="10"/>
  <c r="D32" i="10"/>
  <c r="C32" i="10"/>
  <c r="B32" i="10"/>
  <c r="D31" i="10"/>
  <c r="C31" i="10"/>
  <c r="B31" i="10"/>
  <c r="D30" i="10"/>
  <c r="C30" i="10"/>
  <c r="B30" i="10"/>
  <c r="D29" i="10"/>
  <c r="C29" i="10"/>
  <c r="B29" i="10"/>
  <c r="D28" i="10"/>
  <c r="C28" i="10"/>
  <c r="B28" i="10"/>
  <c r="D27" i="10"/>
  <c r="C27" i="10"/>
  <c r="B27" i="10"/>
  <c r="D26" i="10"/>
  <c r="C26" i="10"/>
  <c r="B26" i="10"/>
  <c r="F12" i="10"/>
  <c r="E12" i="10"/>
  <c r="D12" i="10"/>
  <c r="C12" i="10"/>
  <c r="C13" i="10"/>
  <c r="G13" i="10" s="1"/>
  <c r="C11" i="10"/>
  <c r="D11" i="10"/>
  <c r="E11" i="10"/>
  <c r="F11" i="10"/>
  <c r="B14" i="13"/>
  <c r="C14" i="13" s="1"/>
  <c r="J19" i="1"/>
  <c r="K19" i="1"/>
  <c r="L19" i="1"/>
  <c r="J8" i="1"/>
  <c r="K8" i="1"/>
  <c r="L8" i="1"/>
  <c r="I8" i="1"/>
  <c r="B16" i="13"/>
  <c r="C16" i="13" s="1"/>
  <c r="F16" i="13" s="1"/>
  <c r="B15" i="13"/>
  <c r="C15" i="13" s="1"/>
  <c r="B13" i="13"/>
  <c r="F5" i="13"/>
  <c r="F6" i="13"/>
  <c r="F7" i="13"/>
  <c r="F8" i="13"/>
  <c r="F4" i="13"/>
  <c r="D5" i="13"/>
  <c r="E5" i="13"/>
  <c r="D6" i="13"/>
  <c r="E6" i="13"/>
  <c r="D7" i="13"/>
  <c r="E7" i="13"/>
  <c r="D8" i="13"/>
  <c r="E8" i="13"/>
  <c r="E4" i="13"/>
  <c r="D4" i="13"/>
  <c r="F186" i="12"/>
  <c r="F185" i="12"/>
  <c r="F184" i="12"/>
  <c r="F181" i="12"/>
  <c r="F180" i="12"/>
  <c r="F179" i="12"/>
  <c r="F175" i="12"/>
  <c r="F174" i="12"/>
  <c r="F173" i="12"/>
  <c r="F170" i="12"/>
  <c r="F169" i="12"/>
  <c r="F168" i="12"/>
  <c r="F164" i="12"/>
  <c r="F163" i="12"/>
  <c r="F162" i="12"/>
  <c r="F159" i="12"/>
  <c r="F158" i="12"/>
  <c r="F157" i="12"/>
  <c r="F153" i="12"/>
  <c r="F152" i="12"/>
  <c r="F151" i="12"/>
  <c r="F148" i="12"/>
  <c r="F147" i="12"/>
  <c r="F146" i="12"/>
  <c r="F142" i="12"/>
  <c r="F141" i="12"/>
  <c r="F140" i="12"/>
  <c r="F137" i="12"/>
  <c r="F136" i="12"/>
  <c r="F135" i="12"/>
  <c r="F131" i="12"/>
  <c r="F130" i="12"/>
  <c r="F129" i="12"/>
  <c r="F126" i="12"/>
  <c r="F125" i="12"/>
  <c r="F124" i="12"/>
  <c r="F120" i="12"/>
  <c r="F119" i="12"/>
  <c r="F118" i="12"/>
  <c r="F115" i="12"/>
  <c r="F114" i="12"/>
  <c r="F113" i="12"/>
  <c r="F109" i="12"/>
  <c r="F108" i="12"/>
  <c r="F107" i="12"/>
  <c r="F104" i="12"/>
  <c r="F103" i="12"/>
  <c r="F102" i="12"/>
  <c r="F98" i="12"/>
  <c r="F97" i="12"/>
  <c r="F96" i="12"/>
  <c r="F92" i="12"/>
  <c r="F93" i="12"/>
  <c r="F91" i="12"/>
  <c r="F3" i="10"/>
  <c r="E3" i="10"/>
  <c r="D3" i="10"/>
  <c r="C3" i="10"/>
  <c r="F4" i="10"/>
  <c r="E4" i="10"/>
  <c r="D4" i="10"/>
  <c r="C4" i="10"/>
  <c r="F5" i="10"/>
  <c r="E5" i="10"/>
  <c r="D5" i="10"/>
  <c r="C5" i="10"/>
  <c r="F6" i="10"/>
  <c r="E6" i="10"/>
  <c r="D6" i="10"/>
  <c r="C6" i="10"/>
  <c r="F7" i="10"/>
  <c r="E7" i="10"/>
  <c r="D7" i="10"/>
  <c r="C7" i="10"/>
  <c r="F8" i="10"/>
  <c r="E8" i="10"/>
  <c r="D8" i="10"/>
  <c r="C8" i="10"/>
  <c r="F9" i="10"/>
  <c r="E9" i="10"/>
  <c r="D9" i="10"/>
  <c r="C9" i="10"/>
  <c r="C10" i="10"/>
  <c r="D10" i="10"/>
  <c r="E10" i="10"/>
  <c r="F10" i="10"/>
  <c r="G3" i="8"/>
  <c r="F3" i="8"/>
  <c r="E3" i="8"/>
  <c r="D3" i="8"/>
  <c r="C3" i="8"/>
  <c r="G4" i="8"/>
  <c r="F4" i="8"/>
  <c r="E4" i="8"/>
  <c r="D4" i="8"/>
  <c r="C4" i="8"/>
  <c r="G5" i="8"/>
  <c r="F5" i="8"/>
  <c r="E5" i="8"/>
  <c r="D5" i="8"/>
  <c r="C5" i="8"/>
  <c r="G6" i="8"/>
  <c r="F6" i="8"/>
  <c r="E6" i="8"/>
  <c r="D6" i="8"/>
  <c r="C6" i="8"/>
  <c r="G7" i="8"/>
  <c r="F7" i="8"/>
  <c r="E7" i="8"/>
  <c r="D7" i="8"/>
  <c r="C7" i="8"/>
  <c r="G8" i="8"/>
  <c r="F8" i="8"/>
  <c r="E8" i="8"/>
  <c r="D8" i="8"/>
  <c r="C8" i="8"/>
  <c r="G9" i="8"/>
  <c r="F9" i="8"/>
  <c r="E9" i="8"/>
  <c r="D9" i="8"/>
  <c r="C9" i="8"/>
  <c r="G10" i="8"/>
  <c r="F10" i="8"/>
  <c r="E10" i="8"/>
  <c r="D10" i="8"/>
  <c r="C10" i="8"/>
  <c r="G11" i="8"/>
  <c r="F11" i="8"/>
  <c r="E11" i="8"/>
  <c r="D11" i="8"/>
  <c r="C11" i="8"/>
  <c r="C15" i="1"/>
  <c r="C14" i="1"/>
  <c r="C19" i="1" s="1"/>
  <c r="B14" i="1"/>
  <c r="B15" i="1"/>
  <c r="B16" i="1"/>
  <c r="B17" i="1"/>
  <c r="B18" i="1"/>
  <c r="D19" i="1"/>
  <c r="E19" i="1"/>
  <c r="F19" i="1"/>
  <c r="G19" i="1"/>
  <c r="H19" i="1"/>
  <c r="I19" i="1"/>
  <c r="G3" i="10" l="1"/>
  <c r="G8" i="10"/>
  <c r="G6" i="10"/>
  <c r="G4" i="10"/>
  <c r="G10" i="10"/>
  <c r="G11" i="10"/>
  <c r="G7" i="10"/>
  <c r="G9" i="10"/>
  <c r="G5" i="10"/>
  <c r="B19" i="1"/>
  <c r="G12" i="10"/>
  <c r="C13" i="13"/>
  <c r="D13" i="13" s="1"/>
  <c r="F14" i="13"/>
  <c r="E14" i="13"/>
  <c r="E16" i="13"/>
  <c r="F15" i="13"/>
  <c r="E15" i="13"/>
  <c r="D15" i="13"/>
  <c r="D14" i="13"/>
  <c r="D16" i="13"/>
  <c r="F13" i="13" l="1"/>
  <c r="E13" i="13"/>
</calcChain>
</file>

<file path=xl/sharedStrings.xml><?xml version="1.0" encoding="utf-8"?>
<sst xmlns="http://schemas.openxmlformats.org/spreadsheetml/2006/main" count="540" uniqueCount="136">
  <si>
    <t>Age</t>
  </si>
  <si>
    <t xml:space="preserve">  Under 5 years</t>
  </si>
  <si>
    <t xml:space="preserve">  5 to 9 years</t>
  </si>
  <si>
    <t xml:space="preserve">  10 to 14 years</t>
  </si>
  <si>
    <t xml:space="preserve">  15 to 19 years</t>
  </si>
  <si>
    <t xml:space="preserve">  20 to 24 years</t>
  </si>
  <si>
    <t>Total</t>
  </si>
  <si>
    <t>Travis County Children &amp; Youth Population Estimate Counts</t>
  </si>
  <si>
    <t>Travis County Children &amp; Youth Population as a Percentage of the Whole Population</t>
  </si>
  <si>
    <t>Black</t>
  </si>
  <si>
    <t>Asian</t>
  </si>
  <si>
    <t>Hispanic</t>
  </si>
  <si>
    <t>Hispanic or Latino</t>
  </si>
  <si>
    <t>White Alone, Not Hispanic or Latino</t>
  </si>
  <si>
    <t xml:space="preserve"> </t>
  </si>
  <si>
    <t>Travis County</t>
  </si>
  <si>
    <t>Texas</t>
  </si>
  <si>
    <t>% of Children Under 18 Living Below the Poverty Level</t>
  </si>
  <si>
    <t>Williamson County</t>
  </si>
  <si>
    <t>Bastrop County</t>
  </si>
  <si>
    <t>Hays County</t>
  </si>
  <si>
    <t>Austin MSA</t>
  </si>
  <si>
    <t>Language Spoken at Home, Travis County, 5-17 years old</t>
  </si>
  <si>
    <t>Only English</t>
  </si>
  <si>
    <t>Spanish</t>
  </si>
  <si>
    <t>Total 5-17</t>
  </si>
  <si>
    <t>Other Indo-European Languages</t>
  </si>
  <si>
    <t>Asian &amp; Pacific Island Languages</t>
  </si>
  <si>
    <t>Other Languages</t>
  </si>
  <si>
    <t>Household Type for Children under 18 in Travis County</t>
  </si>
  <si>
    <t>In Married-Couple Family</t>
  </si>
  <si>
    <t>In Male Householder Family</t>
  </si>
  <si>
    <t>In Female Householder Family</t>
  </si>
  <si>
    <t>In Nonfamily Household</t>
  </si>
  <si>
    <t>% of Household Type w/own Children under 18 Below Poverty Level in Travis County</t>
  </si>
  <si>
    <t>Source: ACS 1 Year Estimates, C17023</t>
  </si>
  <si>
    <t>Married-Couple Family</t>
  </si>
  <si>
    <t>Male Householder Family</t>
  </si>
  <si>
    <t>Female Householder Family</t>
  </si>
  <si>
    <t>Under 18</t>
  </si>
  <si>
    <t>Number</t>
  </si>
  <si>
    <t>Percent</t>
  </si>
  <si>
    <t>Asian Alone, Not Hispanic or Latino</t>
  </si>
  <si>
    <t>Black or African-American Alone, Not Hispanic or Latino</t>
  </si>
  <si>
    <t>Other Race or Two or More Races</t>
  </si>
  <si>
    <t>18-64</t>
  </si>
  <si>
    <t>65 and Over</t>
  </si>
  <si>
    <t>Total Population</t>
  </si>
  <si>
    <t>White</t>
  </si>
  <si>
    <t>Margin of Error</t>
  </si>
  <si>
    <t>USA</t>
  </si>
  <si>
    <t>City of Austin</t>
  </si>
  <si>
    <t>Source: American Community Survey, 1-Year Estimates - S1701 Poverty Status in the Past 12 Months</t>
  </si>
  <si>
    <t>Total Children</t>
  </si>
  <si>
    <t>Married-Couple</t>
  </si>
  <si>
    <t>Male Householder, No Wife</t>
  </si>
  <si>
    <t>Female Householder, No Husband</t>
  </si>
  <si>
    <t>Percent of Children Below Poverty Level</t>
  </si>
  <si>
    <t>Number Below Poverty Level</t>
  </si>
  <si>
    <t>Estimate</t>
  </si>
  <si>
    <t>MOE</t>
  </si>
  <si>
    <t>Percent of Total Related Children in Household Type Below Poverty Level</t>
  </si>
  <si>
    <t xml:space="preserve">Source: U.S. Census Bureau, American Community Survey, 1-Year Estimates, Table B17006:  POVERTY STATUS IN THE PAST 12 MONTHS OF RELATED CHILDREN UNDER 18 YEARS BY FAMILY TYPE BY AGE OF RELATED CHILDREN UNDER 18 YEARS </t>
  </si>
  <si>
    <t>CV</t>
  </si>
  <si>
    <t/>
  </si>
  <si>
    <t>Total:</t>
  </si>
  <si>
    <t>Lower Estimate</t>
  </si>
  <si>
    <t>Upper Estimate</t>
  </si>
  <si>
    <t>Coefficient of Variation</t>
  </si>
  <si>
    <t>Source: U.S. Census Bureau, American Community Survey, 1-Year Estimates, Table B09005: Household Type for Children Under 18 Years in Households (Excluding Householders, Spouses, and Unmarried Partners)</t>
  </si>
  <si>
    <t>Source: U.S. Census Bureau, American Community Survey 1-Year Estimates, Table DP05: Demographic and Housing Characteristics</t>
  </si>
  <si>
    <t>Source: U.S. Census Burea, American Community Survey 1-Year Estimates, B16007</t>
  </si>
  <si>
    <t>Source: U.S. Census Burea, American Community Survey 1 Year Estimates, B09005</t>
  </si>
  <si>
    <t>Source: Table B01001: SEX BY AGE, U.S. Census Bureau, American Community Survey, 1-Year Estimates</t>
  </si>
  <si>
    <t>Other</t>
  </si>
  <si>
    <t xml:space="preserve">Other </t>
  </si>
  <si>
    <t xml:space="preserve">White </t>
  </si>
  <si>
    <t xml:space="preserve">Hispanic </t>
  </si>
  <si>
    <t xml:space="preserve">Black </t>
  </si>
  <si>
    <t>total 65 and up</t>
  </si>
  <si>
    <t>total 18-64</t>
  </si>
  <si>
    <t>Total Under 18</t>
  </si>
  <si>
    <t xml:space="preserve">Asian </t>
  </si>
  <si>
    <t>Under 5</t>
  </si>
  <si>
    <t>Source: ACS 1-Year Estimates, S1701</t>
  </si>
  <si>
    <t xml:space="preserve">        </t>
  </si>
  <si>
    <t>Under 18:</t>
  </si>
  <si>
    <t>https://data.census.gov/cedsci/table?q=dp05&amp;g=0500000US48453&amp;tid=ACSDP1Y2018.DP05&amp;hidePreview=true</t>
  </si>
  <si>
    <t>269,300</t>
  </si>
  <si>
    <t>191,933</t>
  </si>
  <si>
    <t>18,035</t>
  </si>
  <si>
    <t>14,191</t>
  </si>
  <si>
    <t>45,141</t>
  </si>
  <si>
    <t>Married-couple household</t>
  </si>
  <si>
    <t>Cohabiting couple household</t>
  </si>
  <si>
    <t>In male householder, no spouse/partner present household</t>
  </si>
  <si>
    <t>In female householder, no spouse/partner present household</t>
  </si>
  <si>
    <t>Cohabitating Couple Household</t>
  </si>
  <si>
    <t>Families with Children under 18 in Travis County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</si>
  <si>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</si>
  <si>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</si>
  <si>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</si>
  <si>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</si>
  <si>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</si>
  <si>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</si>
  <si>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</si>
  <si>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</si>
  <si>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</si>
  <si>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</si>
  <si>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</si>
  <si>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</si>
  <si>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</si>
  <si>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Families w/children under 18</t>
  </si>
  <si>
    <t>Married-couple family w/children under 18</t>
  </si>
  <si>
    <t>Single Male w/children under 18</t>
  </si>
  <si>
    <t>Single Female w/children under 18</t>
  </si>
  <si>
    <t>Grandparents respondible for grandchildren under 18</t>
  </si>
  <si>
    <t>Source: U.S. Census Bureau, American Community Survey 1-Year Estimates, S1101</t>
  </si>
  <si>
    <t xml:space="preserve">For Grandparents info: </t>
  </si>
  <si>
    <t>B10050</t>
  </si>
  <si>
    <t>Percent under 18 Living in Families with Incomes Below Federal Poverty Thresholds, Travis County</t>
  </si>
  <si>
    <t>% under 18 below poverty</t>
  </si>
  <si>
    <t>Source: ACS 1-Year Estimates, S0201</t>
  </si>
  <si>
    <t>Data for the Asian population was unavailable reported until 2013</t>
  </si>
  <si>
    <t>Black, White, and Asian refer to the Race Alone, Not Hispanic or Latino Population</t>
  </si>
  <si>
    <t>Year</t>
  </si>
  <si>
    <t>Hispanic - Lower Estimate</t>
  </si>
  <si>
    <t>Hispanic - Upper Estimate</t>
  </si>
  <si>
    <t>White - Lower Estimate</t>
  </si>
  <si>
    <t>White - Upper Estimate</t>
  </si>
  <si>
    <t>Black - Lower Estimate</t>
  </si>
  <si>
    <t>Black - Upper Estimate</t>
  </si>
  <si>
    <t>Asian - Lower Estimate</t>
  </si>
  <si>
    <t>Asian- Upper Estimate</t>
  </si>
  <si>
    <t>https://data.census.gov/cedsci/table?q=b16007&amp;g=0500000US48453&amp;tid=ACSDT1Y2019.B16007&amp;hidePreview=true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</si>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</sst>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9" x14ac:knownFonts="1">
    <font>
      <sz val="12"/>
      <color theme="1"/>
      <name val="Candara"/>
      <family val="2"/>
      <scheme val="minor"/>
    </font>
    <font>
      <sz val="11"/>
      <color theme="1"/>
      <name val="Candara"/>
      <family val="2"/>
      <scheme val="minor"/>
    </font>
    <font>
      <sz val="11"/>
      <color theme="1"/>
      <name val="Candara"/>
      <family val="2"/>
      <scheme val="minor"/>
    </font>
    <font>
      <sz val="11"/>
      <color theme="1"/>
      <name val="Candara"/>
      <family val="2"/>
      <scheme val="minor"/>
    </font>
    <font>
      <sz val="12"/>
      <color theme="1"/>
      <name val="Candara"/>
      <family val="2"/>
      <scheme val="minor"/>
    </font>
    <font>
      <b/>
      <sz val="12"/>
      <color theme="1"/>
      <name val="Candara"/>
      <family val="2"/>
      <scheme val="minor"/>
    </font>
    <font>
      <b/>
      <sz val="15"/>
      <color rgb="FF1F497D"/>
      <name val="Candara"/>
      <family val="2"/>
      <scheme val="minor"/>
    </font>
    <font>
      <sz val="12"/>
      <color rgb="FF000000"/>
      <name val="Candara"/>
      <family val="2"/>
      <scheme val="minor"/>
    </font>
    <font>
      <b/>
      <sz val="13"/>
      <color rgb="FF1F497D"/>
      <name val="Candara"/>
      <family val="2"/>
      <scheme val="minor"/>
    </font>
    <font>
      <u/>
      <sz val="12"/>
      <color theme="10"/>
      <name val="Candara"/>
      <family val="2"/>
      <scheme val="minor"/>
    </font>
    <font>
      <u/>
      <sz val="12"/>
      <color theme="11"/>
      <name val="Candara"/>
      <family val="2"/>
      <scheme val="minor"/>
    </font>
    <font>
      <b/>
      <sz val="12"/>
      <color rgb="FFFFFFFF"/>
      <name val="Candara"/>
      <scheme val="minor"/>
    </font>
    <font>
      <b/>
      <sz val="12"/>
      <color rgb="FF000000"/>
      <name val="Candara"/>
      <scheme val="minor"/>
    </font>
    <font>
      <b/>
      <sz val="11"/>
      <color theme="1"/>
      <name val="Candara"/>
      <family val="2"/>
      <scheme val="minor"/>
    </font>
    <font>
      <b/>
      <i/>
      <sz val="11"/>
      <color theme="1"/>
      <name val="Candara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</font>
    <font>
      <b/>
      <sz val="18"/>
      <color theme="3"/>
      <name val="Candara"/>
      <family val="2"/>
      <scheme val="major"/>
    </font>
    <font>
      <sz val="8"/>
      <name val="Candara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CE6F1"/>
        <bgColor rgb="FF000000"/>
      </patternFill>
    </fill>
    <fill>
      <patternFill patternType="solid">
        <fgColor rgb="FF4F81BD"/>
        <bgColor rgb="FF4F81BD"/>
      </patternFill>
    </fill>
    <fill>
      <patternFill patternType="solid">
        <fgColor rgb="FFB8CCE4"/>
        <bgColor rgb="FFB8CCE4"/>
      </patternFill>
    </fill>
    <fill>
      <patternFill patternType="solid">
        <fgColor rgb="FFDCE6F1"/>
        <bgColor rgb="FFDCE6F1"/>
      </patternFill>
    </fill>
    <fill>
      <patternFill patternType="solid">
        <fgColor theme="4" tint="0.59999389629810485"/>
        <bgColor rgb="FFDCE6F1"/>
      </patternFill>
    </fill>
  </fills>
  <borders count="10">
    <border>
      <left/>
      <right/>
      <top/>
      <bottom/>
      <diagonal/>
    </border>
    <border>
      <left/>
      <right/>
      <top/>
      <bottom style="thick">
        <color rgb="FFA7BFDE"/>
      </bottom>
      <diagonal/>
    </border>
    <border>
      <left/>
      <right style="thin">
        <color rgb="FFFFFFFF"/>
      </right>
      <top/>
      <bottom style="thick">
        <color rgb="FFFFFFFF"/>
      </bottom>
      <diagonal/>
    </border>
    <border>
      <left style="thin">
        <color rgb="FFFFFFFF"/>
      </left>
      <right style="thin">
        <color rgb="FFFFFFFF"/>
      </right>
      <top/>
      <bottom style="thick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</borders>
  <cellStyleXfs count="41">
    <xf numFmtId="0" fontId="0" fillId="0" borderId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86">
    <xf numFmtId="0" fontId="0" fillId="0" borderId="0" xfId="0"/>
    <xf numFmtId="0" fontId="7" fillId="0" borderId="0" xfId="0" applyFont="1"/>
    <xf numFmtId="0" fontId="8" fillId="0" borderId="1" xfId="0" applyFont="1" applyBorder="1"/>
    <xf numFmtId="0" fontId="7" fillId="2" borderId="0" xfId="0" applyFont="1" applyFill="1"/>
    <xf numFmtId="164" fontId="7" fillId="0" borderId="0" xfId="1" applyNumberFormat="1" applyFont="1"/>
    <xf numFmtId="9" fontId="0" fillId="0" borderId="0" xfId="1" applyFont="1"/>
    <xf numFmtId="164" fontId="0" fillId="0" borderId="0" xfId="1" applyNumberFormat="1" applyFont="1"/>
    <xf numFmtId="0" fontId="11" fillId="3" borderId="2" xfId="0" applyFont="1" applyFill="1" applyBorder="1"/>
    <xf numFmtId="0" fontId="11" fillId="3" borderId="3" xfId="0" applyFont="1" applyFill="1" applyBorder="1"/>
    <xf numFmtId="0" fontId="7" fillId="4" borderId="4" xfId="0" applyFont="1" applyFill="1" applyBorder="1"/>
    <xf numFmtId="0" fontId="7" fillId="5" borderId="4" xfId="0" applyFont="1" applyFill="1" applyBorder="1"/>
    <xf numFmtId="0" fontId="7" fillId="5" borderId="6" xfId="0" applyFont="1" applyFill="1" applyBorder="1"/>
    <xf numFmtId="0" fontId="7" fillId="4" borderId="8" xfId="0" applyFont="1" applyFill="1" applyBorder="1"/>
    <xf numFmtId="0" fontId="7" fillId="4" borderId="0" xfId="0" applyFont="1" applyFill="1" applyBorder="1"/>
    <xf numFmtId="0" fontId="7" fillId="5" borderId="0" xfId="0" applyFont="1" applyFill="1" applyBorder="1"/>
    <xf numFmtId="0" fontId="12" fillId="4" borderId="4" xfId="0" applyFont="1" applyFill="1" applyBorder="1"/>
    <xf numFmtId="0" fontId="12" fillId="5" borderId="4" xfId="0" applyFont="1" applyFill="1" applyBorder="1"/>
    <xf numFmtId="0" fontId="12" fillId="5" borderId="6" xfId="0" applyFont="1" applyFill="1" applyBorder="1"/>
    <xf numFmtId="0" fontId="12" fillId="4" borderId="8" xfId="0" applyFont="1" applyFill="1" applyBorder="1"/>
    <xf numFmtId="0" fontId="5" fillId="0" borderId="0" xfId="0" applyFont="1"/>
    <xf numFmtId="164" fontId="0" fillId="0" borderId="0" xfId="0" applyNumberFormat="1"/>
    <xf numFmtId="9" fontId="0" fillId="0" borderId="0" xfId="0" applyNumberFormat="1"/>
    <xf numFmtId="3" fontId="0" fillId="0" borderId="0" xfId="0" applyNumberFormat="1"/>
    <xf numFmtId="0" fontId="13" fillId="0" borderId="0" xfId="0" applyFont="1"/>
    <xf numFmtId="0" fontId="13" fillId="0" borderId="0" xfId="0" applyFont="1" applyAlignment="1">
      <alignment wrapText="1"/>
    </xf>
    <xf numFmtId="164" fontId="7" fillId="5" borderId="5" xfId="1" applyNumberFormat="1" applyFont="1" applyFill="1" applyBorder="1"/>
    <xf numFmtId="164" fontId="7" fillId="5" borderId="4" xfId="1" applyNumberFormat="1" applyFont="1" applyFill="1" applyBorder="1"/>
    <xf numFmtId="164" fontId="7" fillId="4" borderId="5" xfId="1" applyNumberFormat="1" applyFont="1" applyFill="1" applyBorder="1"/>
    <xf numFmtId="164" fontId="7" fillId="4" borderId="4" xfId="1" applyNumberFormat="1" applyFont="1" applyFill="1" applyBorder="1"/>
    <xf numFmtId="164" fontId="7" fillId="5" borderId="7" xfId="1" applyNumberFormat="1" applyFont="1" applyFill="1" applyBorder="1"/>
    <xf numFmtId="164" fontId="7" fillId="5" borderId="6" xfId="1" applyNumberFormat="1" applyFont="1" applyFill="1" applyBorder="1"/>
    <xf numFmtId="164" fontId="7" fillId="4" borderId="9" xfId="1" applyNumberFormat="1" applyFont="1" applyFill="1" applyBorder="1"/>
    <xf numFmtId="164" fontId="7" fillId="4" borderId="8" xfId="1" applyNumberFormat="1" applyFont="1" applyFill="1" applyBorder="1"/>
    <xf numFmtId="165" fontId="0" fillId="0" borderId="0" xfId="36" applyNumberFormat="1" applyFont="1"/>
    <xf numFmtId="3" fontId="0" fillId="0" borderId="0" xfId="36" applyNumberFormat="1" applyFont="1"/>
    <xf numFmtId="165" fontId="7" fillId="0" borderId="0" xfId="36" applyNumberFormat="1" applyFont="1"/>
    <xf numFmtId="3" fontId="7" fillId="0" borderId="0" xfId="36" applyNumberFormat="1" applyFont="1"/>
    <xf numFmtId="10" fontId="7" fillId="0" borderId="0" xfId="1" applyNumberFormat="1" applyFont="1"/>
    <xf numFmtId="10" fontId="7" fillId="0" borderId="0" xfId="36" applyNumberFormat="1" applyFont="1"/>
    <xf numFmtId="0" fontId="3" fillId="0" borderId="0" xfId="37"/>
    <xf numFmtId="3" fontId="3" fillId="0" borderId="0" xfId="37" applyNumberFormat="1"/>
    <xf numFmtId="9" fontId="3" fillId="0" borderId="0" xfId="37" applyNumberFormat="1"/>
    <xf numFmtId="3" fontId="14" fillId="0" borderId="0" xfId="37" applyNumberFormat="1" applyFont="1"/>
    <xf numFmtId="9" fontId="14" fillId="0" borderId="0" xfId="38" applyFont="1"/>
    <xf numFmtId="0" fontId="14" fillId="0" borderId="0" xfId="37" applyFont="1" applyAlignment="1">
      <alignment wrapText="1"/>
    </xf>
    <xf numFmtId="9" fontId="3" fillId="0" borderId="0" xfId="38" applyFont="1"/>
    <xf numFmtId="0" fontId="3" fillId="0" borderId="0" xfId="37" applyAlignment="1">
      <alignment wrapText="1"/>
    </xf>
    <xf numFmtId="0" fontId="13" fillId="0" borderId="0" xfId="37" applyFont="1"/>
    <xf numFmtId="165" fontId="0" fillId="0" borderId="0" xfId="39" applyNumberFormat="1" applyFont="1"/>
    <xf numFmtId="9" fontId="0" fillId="0" borderId="0" xfId="38" applyFont="1"/>
    <xf numFmtId="0" fontId="0" fillId="0" borderId="0" xfId="0" applyAlignment="1"/>
    <xf numFmtId="9" fontId="0" fillId="0" borderId="0" xfId="1" applyNumberFormat="1" applyFont="1"/>
    <xf numFmtId="3" fontId="7" fillId="5" borderId="0" xfId="0" applyNumberFormat="1" applyFont="1" applyFill="1" applyBorder="1"/>
    <xf numFmtId="165" fontId="7" fillId="5" borderId="0" xfId="36" applyNumberFormat="1" applyFont="1" applyFill="1" applyBorder="1"/>
    <xf numFmtId="3" fontId="7" fillId="4" borderId="0" xfId="0" applyNumberFormat="1" applyFont="1" applyFill="1" applyBorder="1"/>
    <xf numFmtId="0" fontId="2" fillId="0" borderId="0" xfId="37" applyFont="1"/>
    <xf numFmtId="0" fontId="0" fillId="0" borderId="0" xfId="36" applyNumberFormat="1" applyFont="1"/>
    <xf numFmtId="0" fontId="7" fillId="5" borderId="0" xfId="0" applyNumberFormat="1" applyFont="1" applyFill="1" applyBorder="1"/>
    <xf numFmtId="10" fontId="0" fillId="0" borderId="0" xfId="0" applyNumberFormat="1"/>
    <xf numFmtId="0" fontId="7" fillId="6" borderId="4" xfId="0" applyFont="1" applyFill="1" applyBorder="1"/>
    <xf numFmtId="164" fontId="7" fillId="6" borderId="5" xfId="1" applyNumberFormat="1" applyFont="1" applyFill="1" applyBorder="1"/>
    <xf numFmtId="164" fontId="7" fillId="6" borderId="4" xfId="1" applyNumberFormat="1" applyFont="1" applyFill="1" applyBorder="1"/>
    <xf numFmtId="0" fontId="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wrapText="1"/>
    </xf>
    <xf numFmtId="3" fontId="16" fillId="0" borderId="0" xfId="0" applyNumberFormat="1" applyFont="1"/>
    <xf numFmtId="9" fontId="16" fillId="0" borderId="0" xfId="1" applyFont="1"/>
    <xf numFmtId="0" fontId="16" fillId="0" borderId="0" xfId="0" applyFont="1" applyAlignment="1">
      <alignment wrapText="1" indent="1"/>
    </xf>
    <xf numFmtId="3" fontId="16" fillId="0" borderId="0" xfId="0" applyNumberFormat="1" applyFont="1" applyAlignment="1">
      <alignment wrapText="1"/>
    </xf>
    <xf numFmtId="164" fontId="16" fillId="0" borderId="0" xfId="1" applyNumberFormat="1" applyFont="1"/>
    <xf numFmtId="9" fontId="16" fillId="0" borderId="0" xfId="1" applyNumberFormat="1" applyFont="1"/>
    <xf numFmtId="165" fontId="7" fillId="4" borderId="0" xfId="36" applyNumberFormat="1" applyFont="1" applyFill="1" applyBorder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164" fontId="0" fillId="0" borderId="0" xfId="1" applyNumberFormat="1" applyFont="1" applyAlignment="1">
      <alignment wrapText="1"/>
    </xf>
    <xf numFmtId="164" fontId="0" fillId="0" borderId="0" xfId="1" applyNumberFormat="1" applyFont="1" applyBorder="1"/>
    <xf numFmtId="164" fontId="1" fillId="0" borderId="0" xfId="1" applyNumberFormat="1" applyFont="1"/>
    <xf numFmtId="0" fontId="0" fillId="0" borderId="0" xfId="0" applyAlignment="1">
      <alignment wrapText="1"/>
    </xf>
    <xf numFmtId="165" fontId="0" fillId="0" borderId="0" xfId="0" applyNumberFormat="1"/>
    <xf numFmtId="1" fontId="0" fillId="0" borderId="0" xfId="0" applyNumberForma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40" applyAlignment="1">
      <alignment horizontal="center"/>
    </xf>
    <xf numFmtId="0" fontId="12" fillId="5" borderId="0" xfId="0" applyFont="1" applyFill="1" applyBorder="1"/>
  </cellXfs>
  <cellStyles count="41">
    <cellStyle name="Comma" xfId="36" builtinId="3"/>
    <cellStyle name="Comma 2" xfId="39" xr:uid="{00000000-0005-0000-0000-000001000000}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  <cellStyle name="Normal 2" xfId="37" xr:uid="{00000000-0005-0000-0000-000025000000}"/>
    <cellStyle name="Percent" xfId="1" builtinId="5"/>
    <cellStyle name="Percent 2" xfId="38" xr:uid="{00000000-0005-0000-0000-000027000000}"/>
    <cellStyle name="Title 2" xfId="40" xr:uid="{12FCCE9B-CB0B-4CEF-9891-6AAA32DD61ED}"/>
  </cellStyles>
  <dxfs count="18"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alignment horizontal="center" vertical="bottom" textRotation="0" indent="0" justifyLastLine="0" shrinkToFit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Travis County Children &amp; Youth</a:t>
            </a:r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2"/>
          <c:order val="0"/>
          <c:tx>
            <c:strRef>
              <c:f>'Travis County Pop # &amp; %'!$A$3</c:f>
              <c:strCache>
                <c:ptCount val="1"/>
                <c:pt idx="0">
                  <c:v>  Under 5 years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'Travis County Pop # &amp; %'!$H$2:$O$2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'Travis County Pop # &amp; %'!$H$3:$O$3</c:f>
              <c:numCache>
                <c:formatCode>_(* #,##0_);_(* \(#,##0\);_(* "-"??_);_(@_)</c:formatCode>
                <c:ptCount val="8"/>
                <c:pt idx="0">
                  <c:v>79224</c:v>
                </c:pt>
                <c:pt idx="1">
                  <c:v>78303</c:v>
                </c:pt>
                <c:pt idx="2" formatCode="#,##0">
                  <c:v>78891</c:v>
                </c:pt>
                <c:pt idx="3" formatCode="#,##0">
                  <c:v>79611</c:v>
                </c:pt>
                <c:pt idx="4" formatCode="#,##0">
                  <c:v>79506</c:v>
                </c:pt>
                <c:pt idx="5" formatCode="#,##0">
                  <c:v>78992</c:v>
                </c:pt>
                <c:pt idx="6" formatCode="#,##0">
                  <c:v>78395</c:v>
                </c:pt>
                <c:pt idx="7" formatCode="#,##0">
                  <c:v>76769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35-4339-A500-AA405119F561}"/>
            </c:ext>
          </c:extLst>
        </c:ser>
        <c:ser>
          <c:idx val="3"/>
          <c:order val="1"/>
          <c:tx>
            <c:strRef>
              <c:f>'Travis County Pop # &amp; %'!$A$4</c:f>
              <c:strCache>
                <c:ptCount val="1"/>
                <c:pt idx="0">
                  <c:v>  5 to 9 years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'Travis County Pop # &amp; %'!$H$2:$O$2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'Travis County Pop # &amp; %'!$H$4:$O$4</c:f>
              <c:numCache>
                <c:formatCode>_(* #,##0_);_(* \(#,##0\);_(* "-"??_);_(@_)</c:formatCode>
                <c:ptCount val="8"/>
                <c:pt idx="0">
                  <c:v>79473</c:v>
                </c:pt>
                <c:pt idx="1">
                  <c:v>72997</c:v>
                </c:pt>
                <c:pt idx="2" formatCode="#,##0">
                  <c:v>78969</c:v>
                </c:pt>
                <c:pt idx="3" formatCode="#,##0">
                  <c:v>77291</c:v>
                </c:pt>
                <c:pt idx="4" formatCode="#,##0">
                  <c:v>75467</c:v>
                </c:pt>
                <c:pt idx="5" formatCode="#,##0">
                  <c:v>73687</c:v>
                </c:pt>
                <c:pt idx="6" formatCode="#,##0">
                  <c:v>73167</c:v>
                </c:pt>
                <c:pt idx="7" formatCode="#,##0">
                  <c:v>71732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35-4339-A500-AA405119F561}"/>
            </c:ext>
          </c:extLst>
        </c:ser>
        <c:ser>
          <c:idx val="4"/>
          <c:order val="2"/>
          <c:tx>
            <c:strRef>
              <c:f>'Travis County Pop # &amp; %'!$A$5</c:f>
              <c:strCache>
                <c:ptCount val="1"/>
                <c:pt idx="0">
                  <c:v>  10 to 14 years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'Travis County Pop # &amp; %'!$H$2:$O$2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'Travis County Pop # &amp; %'!$H$5:$O$5</c:f>
              <c:numCache>
                <c:formatCode>_(* #,##0_);_(* \(#,##0\);_(* "-"??_);_(@_)</c:formatCode>
                <c:ptCount val="8"/>
                <c:pt idx="0">
                  <c:v>63826</c:v>
                </c:pt>
                <c:pt idx="1">
                  <c:v>71939</c:v>
                </c:pt>
                <c:pt idx="2" formatCode="#,##0">
                  <c:v>68046</c:v>
                </c:pt>
                <c:pt idx="3" formatCode="#,##0">
                  <c:v>70500</c:v>
                </c:pt>
                <c:pt idx="4" formatCode="#,##0">
                  <c:v>73916</c:v>
                </c:pt>
                <c:pt idx="5" formatCode="#,##0">
                  <c:v>76642</c:v>
                </c:pt>
                <c:pt idx="6" formatCode="#,##0">
                  <c:v>76288</c:v>
                </c:pt>
                <c:pt idx="7" formatCode="#,##0">
                  <c:v>78262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35-4339-A500-AA405119F561}"/>
            </c:ext>
          </c:extLst>
        </c:ser>
        <c:ser>
          <c:idx val="5"/>
          <c:order val="3"/>
          <c:tx>
            <c:strRef>
              <c:f>'Travis County Pop # &amp; %'!$A$6</c:f>
              <c:strCache>
                <c:ptCount val="1"/>
                <c:pt idx="0">
                  <c:v>  15 to 19 years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'Travis County Pop # &amp; %'!$H$2:$O$2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'Travis County Pop # &amp; %'!$H$6:$O$6</c:f>
              <c:numCache>
                <c:formatCode>_(* #,##0_);_(* \(#,##0\);_(* "-"??_);_(@_)</c:formatCode>
                <c:ptCount val="8"/>
                <c:pt idx="0">
                  <c:v>67685</c:v>
                </c:pt>
                <c:pt idx="1">
                  <c:v>68620</c:v>
                </c:pt>
                <c:pt idx="2" formatCode="#,##0">
                  <c:v>69086</c:v>
                </c:pt>
                <c:pt idx="3" formatCode="#,##0">
                  <c:v>71760</c:v>
                </c:pt>
                <c:pt idx="4" formatCode="#,##0">
                  <c:v>72007</c:v>
                </c:pt>
                <c:pt idx="5" formatCode="#,##0">
                  <c:v>73010</c:v>
                </c:pt>
                <c:pt idx="6" formatCode="#,##0">
                  <c:v>74414</c:v>
                </c:pt>
                <c:pt idx="7" formatCode="#,##0">
                  <c:v>77037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35-4339-A500-AA405119F561}"/>
            </c:ext>
          </c:extLst>
        </c:ser>
        <c:ser>
          <c:idx val="6"/>
          <c:order val="4"/>
          <c:tx>
            <c:strRef>
              <c:f>'Travis County Pop # &amp; %'!$A$7</c:f>
              <c:strCache>
                <c:ptCount val="1"/>
                <c:pt idx="0">
                  <c:v>  20 to 24 years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'Travis County Pop # &amp; %'!$H$2:$O$2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'Travis County Pop # &amp; %'!$H$7:$O$7</c:f>
              <c:numCache>
                <c:formatCode>_(* #,##0_);_(* \(#,##0\);_(* "-"??_);_(@_)</c:formatCode>
                <c:ptCount val="8"/>
                <c:pt idx="0">
                  <c:v>94375</c:v>
                </c:pt>
                <c:pt idx="1">
                  <c:v>87348</c:v>
                </c:pt>
                <c:pt idx="2" formatCode="#,##0">
                  <c:v>85647</c:v>
                </c:pt>
                <c:pt idx="3" formatCode="#,##0">
                  <c:v>82291</c:v>
                </c:pt>
                <c:pt idx="4" formatCode="#,##0">
                  <c:v>82164</c:v>
                </c:pt>
                <c:pt idx="5" formatCode="#,##0">
                  <c:v>82069</c:v>
                </c:pt>
                <c:pt idx="6" formatCode="#,##0">
                  <c:v>82762</c:v>
                </c:pt>
                <c:pt idx="7" formatCode="#,##0">
                  <c:v>81524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35-4339-A500-AA405119F561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axId val="171951120"/>
        <c:axId val="171951512"/>
      </c:areaChart>
      <c:dateAx>
        <c:axId val="17195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1951512"/>
        <c:crosses val="autoZero"/>
        <c:auto val="0"/>
        <c:lblOffset val="100"/>
        <c:baseTimeUnit val="days"/>
      </c:dateAx>
      <c:valAx>
        <c:axId val="171951512"/>
        <c:scaling>
          <c:orientation val="minMax"/>
          <c:max val="400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71951120"/>
        <c:crosses val="autoZero"/>
        <c:crossBetween val="midCat"/>
      </c:valAx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Corbel" panose="020B0503020204020204" pitchFamily="34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solidFill>
                  <a:sysClr val="windowText" lastClr="000000"/>
                </a:solidFill>
                <a:latin typeface="Tw Cen MT" panose="020B0602020104020603" pitchFamily="34" charset="0"/>
              </a:rPr>
              <a:t>Race &amp; Ethnicity by Age,</a:t>
            </a:r>
            <a: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 </a:t>
            </a:r>
            <a:b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</a:br>
            <a: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Travis County, 2018</a:t>
            </a:r>
            <a:endParaRPr lang="en-US" sz="1400">
              <a:solidFill>
                <a:sysClr val="windowText" lastClr="000000"/>
              </a:solidFill>
              <a:latin typeface="Tw Cen MT" panose="020B0602020104020603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'Race-Ethnicity Travis 2018'!$G$79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invertIfNegative val="0"/>
          <c:cat>
            <c:strRef>
              <c:f>'Race-Ethnicity Travis 2018'!$H$75:$J$75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2018'!$H$79:$J$79</c:f>
              <c:numCache>
                <c:formatCode>0%</c:formatCode>
                <c:ptCount val="3"/>
                <c:pt idx="0">
                  <c:v>2.9221091938268221E-2</c:v>
                </c:pt>
                <c:pt idx="1">
                  <c:v>1.9280243867299967E-2</c:v>
                </c:pt>
                <c:pt idx="2">
                  <c:v>5.6652605880807796E-2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CE-4602-ADAD-6640BEA2290B}"/>
            </c:ext>
          </c:extLst>
        </c:ser>
        <c:ser>
          <c:idx val="4"/>
          <c:order val="1"/>
          <c:tx>
            <c:strRef>
              <c:f>'Race-Ethnicity Travis 2018'!$G$76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'Race-Ethnicity Travis 2018'!$H$75:$J$75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2018'!$H$76:$J$76</c:f>
              <c:numCache>
                <c:formatCode>0%</c:formatCode>
                <c:ptCount val="3"/>
                <c:pt idx="0">
                  <c:v>5.6460276652021545E-2</c:v>
                </c:pt>
                <c:pt idx="1">
                  <c:v>7.5129148591199832E-2</c:v>
                </c:pt>
                <c:pt idx="2">
                  <c:v>4.8169780126392558E-2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E-4602-ADAD-6640BEA2290B}"/>
            </c:ext>
          </c:extLst>
        </c:ser>
        <c:ser>
          <c:idx val="0"/>
          <c:order val="2"/>
          <c:tx>
            <c:strRef>
              <c:f>'Race-Ethnicity Travis 2018'!$G$77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'Race-Ethnicity Travis 2018'!$H$75:$J$75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2018'!$H$77:$J$77</c:f>
              <c:numCache>
                <c:formatCode>0%</c:formatCode>
                <c:ptCount val="3"/>
                <c:pt idx="0">
                  <c:v>9.2749553607812049E-2</c:v>
                </c:pt>
                <c:pt idx="1">
                  <c:v>7.9583888841881875E-2</c:v>
                </c:pt>
                <c:pt idx="2">
                  <c:v>7.3533274617963815E-2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CE-4602-ADAD-6640BEA2290B}"/>
            </c:ext>
          </c:extLst>
        </c:ser>
        <c:ser>
          <c:idx val="1"/>
          <c:order val="3"/>
          <c:tx>
            <c:strRef>
              <c:f>'Race-Ethnicity Travis 2018'!$G$78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'Race-Ethnicity Travis 2018'!$H$75:$J$75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2018'!$H$78:$J$78</c:f>
              <c:numCache>
                <c:formatCode>0%</c:formatCode>
                <c:ptCount val="3"/>
                <c:pt idx="0">
                  <c:v>0.46609271621311243</c:v>
                </c:pt>
                <c:pt idx="1">
                  <c:v>0.31452455709865601</c:v>
                </c:pt>
                <c:pt idx="2">
                  <c:v>0.16923160122993247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CE-4602-ADAD-6640BEA2290B}"/>
            </c:ext>
          </c:extLst>
        </c:ser>
        <c:ser>
          <c:idx val="3"/>
          <c:order val="4"/>
          <c:tx>
            <c:strRef>
              <c:f>'Race-Ethnicity Travis 2018'!$G$80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'Race-Ethnicity Travis 2018'!$H$75:$J$75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2018'!$H$80:$J$80</c:f>
              <c:numCache>
                <c:formatCode>0%</c:formatCode>
                <c:ptCount val="3"/>
                <c:pt idx="0">
                  <c:v>0.35767312978343496</c:v>
                </c:pt>
                <c:pt idx="1">
                  <c:v>0.48884256792449809</c:v>
                </c:pt>
                <c:pt idx="2">
                  <c:v>0.65303852037268806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CE-4602-ADAD-6640BEA22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1953472"/>
        <c:axId val="172580888"/>
      </c:barChart>
      <c:catAx>
        <c:axId val="17195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Corbel"/>
                <a:cs typeface="Corbel"/>
              </a:defRPr>
            </a:pPr>
            <a:endParaRPr lang="en-US"/>
          </a:p>
        </c:txPr>
        <c:crossAx val="172580888"/>
        <c:crosses val="autoZero"/>
        <c:auto val="1"/>
        <c:lblAlgn val="ctr"/>
        <c:lblOffset val="100"/>
        <c:noMultiLvlLbl val="0"/>
      </c:catAx>
      <c:valAx>
        <c:axId val="1725808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Corbel"/>
                <a:cs typeface="Corbel"/>
              </a:defRPr>
            </a:pPr>
            <a:endParaRPr lang="en-US"/>
          </a:p>
        </c:txPr>
        <c:crossAx val="1719534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chemeClr val="tx1"/>
              </a:solidFill>
              <a:latin typeface="Tw Cen MT" panose="020B0602020104020603" pitchFamily="34" charset="0"/>
              <a:ea typeface="Corbel"/>
              <a:cs typeface="Corbe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Corbel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  <a:t>Race &amp; Ethnicity by Age, </a:t>
            </a:r>
            <a:br>
              <a:rPr lang="en-US" sz="12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</a:br>
            <a:r>
              <a:rPr lang="en-US" sz="12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  <a:t>Travis County, 2018</a:t>
            </a:r>
            <a:endParaRPr lang="en-US" sz="1200">
              <a:solidFill>
                <a:schemeClr val="tx1"/>
              </a:solidFill>
              <a:effectLst/>
              <a:latin typeface="Tw Cen MT" panose="020B06020201040206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'Race-Ethnicity Travis 2018'!$G$68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'Race-Ethnicity Travis 2018'!$H$64:$K$64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2018'!$H$68:$K$68</c:f>
              <c:numCache>
                <c:formatCode>0%</c:formatCode>
                <c:ptCount val="4"/>
                <c:pt idx="0">
                  <c:v>3.6749792716372215E-2</c:v>
                </c:pt>
                <c:pt idx="1">
                  <c:v>2.9221091938268221E-2</c:v>
                </c:pt>
                <c:pt idx="2">
                  <c:v>1.9280243867299967E-2</c:v>
                </c:pt>
                <c:pt idx="3">
                  <c:v>5.6652605880807796E-2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01-4177-B877-A8C89B8BFE3C}"/>
            </c:ext>
          </c:extLst>
        </c:ser>
        <c:ser>
          <c:idx val="3"/>
          <c:order val="1"/>
          <c:tx>
            <c:strRef>
              <c:f>'Race-Ethnicity Travis 2018'!$G$65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'Race-Ethnicity Travis 2018'!$H$64:$K$64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2018'!$H$65:$K$65</c:f>
              <c:numCache>
                <c:formatCode>0%</c:formatCode>
                <c:ptCount val="4"/>
                <c:pt idx="0">
                  <c:v>5.3039096881178645E-2</c:v>
                </c:pt>
                <c:pt idx="1">
                  <c:v>5.6460276652021545E-2</c:v>
                </c:pt>
                <c:pt idx="2">
                  <c:v>7.5129148591199832E-2</c:v>
                </c:pt>
                <c:pt idx="3">
                  <c:v>4.8169780126392558E-2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1-4177-B877-A8C89B8BFE3C}"/>
            </c:ext>
          </c:extLst>
        </c:ser>
        <c:ser>
          <c:idx val="0"/>
          <c:order val="2"/>
          <c:tx>
            <c:strRef>
              <c:f>'Race-Ethnicity Travis 2018'!$G$66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'Race-Ethnicity Travis 2018'!$H$64:$K$64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2018'!$H$66:$K$66</c:f>
              <c:numCache>
                <c:formatCode>0%</c:formatCode>
                <c:ptCount val="4"/>
                <c:pt idx="0">
                  <c:v>8.7301486064162256E-2</c:v>
                </c:pt>
                <c:pt idx="1">
                  <c:v>9.2749553607812049E-2</c:v>
                </c:pt>
                <c:pt idx="2">
                  <c:v>7.9583888841881875E-2</c:v>
                </c:pt>
                <c:pt idx="3">
                  <c:v>7.3533274617963815E-2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01-4177-B877-A8C89B8BFE3C}"/>
            </c:ext>
          </c:extLst>
        </c:ser>
        <c:ser>
          <c:idx val="1"/>
          <c:order val="3"/>
          <c:tx>
            <c:strRef>
              <c:f>'Race-Ethnicity Travis 2018'!$G$67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'Race-Ethnicity Travis 2018'!$H$64:$K$64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2018'!$H$67:$K$67</c:f>
              <c:numCache>
                <c:formatCode>0%</c:formatCode>
                <c:ptCount val="4"/>
                <c:pt idx="0">
                  <c:v>0.46115185917469226</c:v>
                </c:pt>
                <c:pt idx="1">
                  <c:v>0.46609271621311243</c:v>
                </c:pt>
                <c:pt idx="2">
                  <c:v>0.31452455709865601</c:v>
                </c:pt>
                <c:pt idx="3">
                  <c:v>0.16923160122993247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01-4177-B877-A8C89B8BFE3C}"/>
            </c:ext>
          </c:extLst>
        </c:ser>
        <c:ser>
          <c:idx val="4"/>
          <c:order val="4"/>
          <c:tx>
            <c:strRef>
              <c:f>'Race-Ethnicity Travis 2018'!$G$69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'Race-Ethnicity Travis 2018'!$H$64:$K$64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2018'!$H$69:$K$69</c:f>
              <c:numCache>
                <c:formatCode>0%</c:formatCode>
                <c:ptCount val="4"/>
                <c:pt idx="0">
                  <c:v>0.36175776516359459</c:v>
                </c:pt>
                <c:pt idx="1">
                  <c:v>0.35767312978343496</c:v>
                </c:pt>
                <c:pt idx="2">
                  <c:v>0.48884256792449809</c:v>
                </c:pt>
                <c:pt idx="3">
                  <c:v>0.65303852037268806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01-4177-B877-A8C89B8BF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581672"/>
        <c:axId val="172582064"/>
      </c:barChart>
      <c:catAx>
        <c:axId val="172581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2582064"/>
        <c:crosses val="autoZero"/>
        <c:auto val="1"/>
        <c:lblAlgn val="ctr"/>
        <c:lblOffset val="100"/>
        <c:noMultiLvlLbl val="0"/>
      </c:catAx>
      <c:valAx>
        <c:axId val="17258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2581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400" b="0">
                <a:latin typeface="Tw Cen MT" panose="020B0602020104020603" pitchFamily="34" charset="0"/>
              </a:rPr>
              <a:t>Percent of Children Living</a:t>
            </a:r>
            <a:r>
              <a:rPr lang="en-US" sz="1400" b="0" baseline="0">
                <a:latin typeface="Tw Cen MT" panose="020B0602020104020603" pitchFamily="34" charset="0"/>
              </a:rPr>
              <a:t> in Families with Incomes </a:t>
            </a:r>
            <a:r>
              <a:rPr lang="en-US" sz="1400" b="0">
                <a:latin typeface="Tw Cen MT" panose="020B0602020104020603" pitchFamily="34" charset="0"/>
              </a:rPr>
              <a:t>Below</a:t>
            </a:r>
            <a:r>
              <a:rPr lang="en-US" sz="1400" b="0" baseline="0">
                <a:latin typeface="Tw Cen MT" panose="020B0602020104020603" pitchFamily="34" charset="0"/>
              </a:rPr>
              <a:t> Federal</a:t>
            </a:r>
            <a:r>
              <a:rPr lang="en-US" sz="1400" b="0">
                <a:latin typeface="Tw Cen MT" panose="020B0602020104020603" pitchFamily="34" charset="0"/>
              </a:rPr>
              <a:t> Poverty</a:t>
            </a:r>
            <a:r>
              <a:rPr lang="en-US" sz="1400" b="0" baseline="0">
                <a:latin typeface="Tw Cen MT" panose="020B0602020104020603" pitchFamily="34" charset="0"/>
              </a:rPr>
              <a:t> Thresholds</a:t>
            </a:r>
            <a:endParaRPr lang="en-US" sz="1400" b="0">
              <a:latin typeface="Tw Cen MT" panose="020B0602020104020603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'Under 18 Poverty'!$A$2</c:f>
              <c:strCache>
                <c:ptCount val="1"/>
                <c:pt idx="0">
                  <c:v>City of Austin</c:v>
                </c:pt>
              </c:strCache>
            </c:strRef>
          </c:tx>
          <c:marker>
            <c:symbol val="none"/>
          </c:marker>
          <c:cat>
            <c:numRef>
              <c:f>'Under 18 Poverty'!$M$1:$U$1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'Under 18 Poverty'!$M$2:$U$2</c:f>
              <c:numCache>
                <c:formatCode>0%</c:formatCode>
                <c:ptCount val="9"/>
                <c:pt idx="0">
                  <c:v>0.29099999999999998</c:v>
                </c:pt>
                <c:pt idx="1">
                  <c:v>0.3</c:v>
                </c:pt>
                <c:pt idx="2">
                  <c:v>0.23600000000000002</c:v>
                </c:pt>
                <c:pt idx="3">
                  <c:v>0.26800000000000002</c:v>
                </c:pt>
                <c:pt idx="4">
                  <c:v>0.20100000000000001</c:v>
                </c:pt>
                <c:pt idx="5">
                  <c:v>0.184</c:v>
                </c:pt>
                <c:pt idx="6">
                  <c:v>0.17</c:v>
                </c:pt>
                <c:pt idx="7">
                  <c:v>0.186</c:v>
                </c:pt>
                <c:pt idx="8">
                  <c:v>0.16400000000000001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48-4CC2-A9A1-0DAC55EA194C}"/>
            </c:ext>
          </c:extLst>
        </c:ser>
        <c:ser>
          <c:idx val="1"/>
          <c:order val="1"/>
          <c:tx>
            <c:strRef>
              <c:f>'Under 18 Poverty'!$A$3</c:f>
              <c:strCache>
                <c:ptCount val="1"/>
                <c:pt idx="0">
                  <c:v>Travis County</c:v>
                </c:pt>
              </c:strCache>
            </c:strRef>
          </c:tx>
          <c:marker>
            <c:symbol val="none"/>
          </c:marker>
          <c:cat>
            <c:numRef>
              <c:f>'Under 18 Poverty'!$M$1:$U$1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'Under 18 Poverty'!$M$3:$U$3</c:f>
              <c:numCache>
                <c:formatCode>0%</c:formatCode>
                <c:ptCount val="9"/>
                <c:pt idx="0">
                  <c:v>0.253</c:v>
                </c:pt>
                <c:pt idx="1">
                  <c:v>0.26400000000000001</c:v>
                </c:pt>
                <c:pt idx="2">
                  <c:v>0.217</c:v>
                </c:pt>
                <c:pt idx="3">
                  <c:v>0.24299999999999999</c:v>
                </c:pt>
                <c:pt idx="4">
                  <c:v>0.183</c:v>
                </c:pt>
                <c:pt idx="5">
                  <c:v>0.16500000000000001</c:v>
                </c:pt>
                <c:pt idx="6">
                  <c:v>0.15</c:v>
                </c:pt>
                <c:pt idx="7">
                  <c:v>0.158</c:v>
                </c:pt>
                <c:pt idx="8">
                  <c:v>0.14099999999999999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48-4CC2-A9A1-0DAC55EA194C}"/>
            </c:ext>
          </c:extLst>
        </c:ser>
        <c:ser>
          <c:idx val="2"/>
          <c:order val="2"/>
          <c:tx>
            <c:strRef>
              <c:f>'Under 18 Poverty'!$A$4</c:f>
              <c:strCache>
                <c:ptCount val="1"/>
                <c:pt idx="0">
                  <c:v>Austin MSA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'Under 18 Poverty'!$M$1:$U$1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'Under 18 Poverty'!$M$4:$U$4</c:f>
              <c:numCache>
                <c:formatCode>0%</c:formatCode>
                <c:ptCount val="9"/>
                <c:pt idx="0">
                  <c:v>0.19800000000000001</c:v>
                </c:pt>
                <c:pt idx="1">
                  <c:v>0.21199999999999999</c:v>
                </c:pt>
                <c:pt idx="2">
                  <c:v>0.17800000000000002</c:v>
                </c:pt>
                <c:pt idx="3">
                  <c:v>0.19899999999999998</c:v>
                </c:pt>
                <c:pt idx="4">
                  <c:v>0.152</c:v>
                </c:pt>
                <c:pt idx="5">
                  <c:v>0.13600000000000001</c:v>
                </c:pt>
                <c:pt idx="6">
                  <c:v>0.123</c:v>
                </c:pt>
                <c:pt idx="7">
                  <c:v>0.13600000000000001</c:v>
                </c:pt>
                <c:pt idx="8">
                  <c:v>0.128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48-4CC2-A9A1-0DAC55EA194C}"/>
            </c:ext>
          </c:extLst>
        </c:ser>
        <c:ser>
          <c:idx val="3"/>
          <c:order val="3"/>
          <c:tx>
            <c:strRef>
              <c:f>'Under 18 Poverty'!$A$5</c:f>
              <c:strCache>
                <c:ptCount val="1"/>
                <c:pt idx="0">
                  <c:v>Texas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'Under 18 Poverty'!$M$1:$U$1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'Under 18 Poverty'!$M$5:$U$5</c:f>
              <c:numCache>
                <c:formatCode>0%</c:formatCode>
                <c:ptCount val="9"/>
                <c:pt idx="0">
                  <c:v>0.26600000000000001</c:v>
                </c:pt>
                <c:pt idx="1">
                  <c:v>0.25800000000000001</c:v>
                </c:pt>
                <c:pt idx="2">
                  <c:v>0.25</c:v>
                </c:pt>
                <c:pt idx="3">
                  <c:v>0.24600000000000002</c:v>
                </c:pt>
                <c:pt idx="4">
                  <c:v>0.23</c:v>
                </c:pt>
                <c:pt idx="5">
                  <c:v>0.22399999999999998</c:v>
                </c:pt>
                <c:pt idx="6">
                  <c:v>0.20899999999999999</c:v>
                </c:pt>
                <c:pt idx="7">
                  <c:v>0.21099999999999999</c:v>
                </c:pt>
                <c:pt idx="8">
                  <c:v>0.192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48-4CC2-A9A1-0DAC55EA194C}"/>
            </c:ext>
          </c:extLst>
        </c:ser>
        <c:ser>
          <c:idx val="4"/>
          <c:order val="4"/>
          <c:tx>
            <c:strRef>
              <c:f>'Under 18 Poverty'!$A$6</c:f>
              <c:strCache>
                <c:ptCount val="1"/>
                <c:pt idx="0">
                  <c:v>USA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'Under 18 Poverty'!$M$1:$U$1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'Under 18 Poverty'!$M$6:$U$6</c:f>
              <c:numCache>
                <c:formatCode>0%</c:formatCode>
                <c:ptCount val="9"/>
                <c:pt idx="0">
                  <c:v>0.22500000000000001</c:v>
                </c:pt>
                <c:pt idx="1">
                  <c:v>0.22600000000000001</c:v>
                </c:pt>
                <c:pt idx="2">
                  <c:v>0.222</c:v>
                </c:pt>
                <c:pt idx="3">
                  <c:v>0.217</c:v>
                </c:pt>
                <c:pt idx="4">
                  <c:v>0.20699999999999999</c:v>
                </c:pt>
                <c:pt idx="5">
                  <c:v>0.19500000000000001</c:v>
                </c:pt>
                <c:pt idx="6">
                  <c:v>0.184</c:v>
                </c:pt>
                <c:pt idx="7">
                  <c:v>0.18</c:v>
                </c:pt>
                <c:pt idx="8">
                  <c:v>0.16800000000000001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B48-4CC2-A9A1-0DAC55EA1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283816"/>
        <c:axId val="173284208"/>
      </c:lineChart>
      <c:catAx>
        <c:axId val="173283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Tw Cen MT" panose="020B0602020104020603" pitchFamily="34" charset="0"/>
              </a:defRPr>
            </a:pPr>
            <a:endParaRPr lang="en-US"/>
          </a:p>
        </c:txPr>
        <c:crossAx val="173284208"/>
        <c:crosses val="autoZero"/>
        <c:auto val="1"/>
        <c:lblAlgn val="ctr"/>
        <c:lblOffset val="100"/>
        <c:noMultiLvlLbl val="0"/>
      </c:catAx>
      <c:valAx>
        <c:axId val="17328420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Tw Cen MT" panose="020B0602020104020603" pitchFamily="34" charset="0"/>
              </a:defRPr>
            </a:pPr>
            <a:endParaRPr lang="en-US"/>
          </a:p>
        </c:txPr>
        <c:crossAx val="1732838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>
              <a:latin typeface="Tw Cen MT" panose="020B06020201040206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orbel" panose="020B05030202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400" b="0"/>
              <a:t>Percent of Children Living in Families with Incomes Below Federal Poverty Thresholds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'Austin MSA Poverty'!$B$2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numRef>
              <c:f>'Austin MSA Poverty'!$A$9:$A$16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'Austin MSA Poverty'!$B$9:$B$16</c:f>
              <c:numCache>
                <c:formatCode>0.0%</c:formatCode>
                <c:ptCount val="8"/>
                <c:pt idx="0">
                  <c:v>0.26400000000000001</c:v>
                </c:pt>
                <c:pt idx="1">
                  <c:v>0.217</c:v>
                </c:pt>
                <c:pt idx="2">
                  <c:v>0.24299999999999999</c:v>
                </c:pt>
                <c:pt idx="3">
                  <c:v>0.183</c:v>
                </c:pt>
                <c:pt idx="4">
                  <c:v>0.16500000000000001</c:v>
                </c:pt>
                <c:pt idx="5">
                  <c:v>0.15</c:v>
                </c:pt>
                <c:pt idx="6">
                  <c:v>0.158</c:v>
                </c:pt>
                <c:pt idx="7">
                  <c:v>0.14099999999999999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34-4F9B-8408-9A8637B7D6A3}"/>
            </c:ext>
          </c:extLst>
        </c:ser>
        <c:ser>
          <c:idx val="3"/>
          <c:order val="1"/>
          <c:tx>
            <c:strRef>
              <c:f>'Austin MSA Poverty'!$D$2</c:f>
              <c:strCache>
                <c:ptCount val="1"/>
                <c:pt idx="0">
                  <c:v>Hays County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numRef>
              <c:f>'Austin MSA Poverty'!$A$9:$A$16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'Austin MSA Poverty'!$D$9:$D$16</c:f>
              <c:numCache>
                <c:formatCode>0.0%</c:formatCode>
                <c:ptCount val="8"/>
                <c:pt idx="0">
                  <c:v>0.20200000000000001</c:v>
                </c:pt>
                <c:pt idx="1">
                  <c:v>0.13500000000000001</c:v>
                </c:pt>
                <c:pt idx="2">
                  <c:v>0.24299999999999999</c:v>
                </c:pt>
                <c:pt idx="3">
                  <c:v>0.156</c:v>
                </c:pt>
                <c:pt idx="4">
                  <c:v>0.16800000000000001</c:v>
                </c:pt>
                <c:pt idx="5">
                  <c:v>0.13100000000000001</c:v>
                </c:pt>
                <c:pt idx="6">
                  <c:v>0.153</c:v>
                </c:pt>
                <c:pt idx="7">
                  <c:v>0.13200000000000001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34-4F9B-8408-9A8637B7D6A3}"/>
            </c:ext>
          </c:extLst>
        </c:ser>
        <c:ser>
          <c:idx val="4"/>
          <c:order val="2"/>
          <c:tx>
            <c:strRef>
              <c:f>'Austin MSA Poverty'!$E$2</c:f>
              <c:strCache>
                <c:ptCount val="1"/>
                <c:pt idx="0">
                  <c:v>Williamson County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numRef>
              <c:f>'Austin MSA Poverty'!$A$9:$A$16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'Austin MSA Poverty'!$E$9:$E$16</c:f>
              <c:numCache>
                <c:formatCode>0.0%</c:formatCode>
                <c:ptCount val="8"/>
                <c:pt idx="0">
                  <c:v>0.104</c:v>
                </c:pt>
                <c:pt idx="1">
                  <c:v>9.1999999999999998E-2</c:v>
                </c:pt>
                <c:pt idx="2">
                  <c:v>0.10299999999999999</c:v>
                </c:pt>
                <c:pt idx="3">
                  <c:v>8.5000000000000006E-2</c:v>
                </c:pt>
                <c:pt idx="4">
                  <c:v>0.06</c:v>
                </c:pt>
                <c:pt idx="5">
                  <c:v>7.1999999999999995E-2</c:v>
                </c:pt>
                <c:pt idx="6">
                  <c:v>8.7999999999999995E-2</c:v>
                </c:pt>
                <c:pt idx="7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34-4F9B-8408-9A8637B7D6A3}"/>
            </c:ext>
          </c:extLst>
        </c:ser>
        <c:ser>
          <c:idx val="5"/>
          <c:order val="3"/>
          <c:tx>
            <c:strRef>
              <c:f>'Austin MSA Poverty'!$F$2</c:f>
              <c:strCache>
                <c:ptCount val="1"/>
                <c:pt idx="0">
                  <c:v>Austin MSA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numRef>
              <c:f>'Austin MSA Poverty'!$A$9:$A$16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'Austin MSA Poverty'!$F$9:$F$16</c:f>
              <c:numCache>
                <c:formatCode>0.0%</c:formatCode>
                <c:ptCount val="8"/>
                <c:pt idx="0">
                  <c:v>0.21199999999999999</c:v>
                </c:pt>
                <c:pt idx="1">
                  <c:v>0.17800000000000002</c:v>
                </c:pt>
                <c:pt idx="2">
                  <c:v>0.19900000000000001</c:v>
                </c:pt>
                <c:pt idx="3">
                  <c:v>0.152</c:v>
                </c:pt>
                <c:pt idx="4">
                  <c:v>0.13600000000000001</c:v>
                </c:pt>
                <c:pt idx="5">
                  <c:v>0.123</c:v>
                </c:pt>
                <c:pt idx="6">
                  <c:v>0.13600000000000001</c:v>
                </c:pt>
                <c:pt idx="7">
                  <c:v>0.128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534-4F9B-8408-9A8637B7D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584024"/>
        <c:axId val="172583632"/>
      </c:lineChart>
      <c:catAx>
        <c:axId val="172584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2583632"/>
        <c:crosses val="autoZero"/>
        <c:auto val="1"/>
        <c:lblAlgn val="ctr"/>
        <c:lblOffset val="100"/>
        <c:noMultiLvlLbl val="0"/>
      </c:catAx>
      <c:valAx>
        <c:axId val="17258363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725840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Tw Cen MT" panose="020B0602020104020603" pitchFamily="34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Household Type for Children Under 18 in Travis County, 2019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'Children by Family Type'!$A$13:$A$16</c:f>
              <c:strCache>
                <c:ptCount val="4"/>
                <c:pt idx="0">
                  <c:v>Married-couple household</c:v>
                </c:pt>
                <c:pt idx="1">
                  <c:v>Cohabiting couple household</c:v>
                </c:pt>
                <c:pt idx="2">
                  <c:v>In male householder, no spouse/partner present household</c:v>
                </c:pt>
                <c:pt idx="3">
                  <c:v>In female householder, no spouse/partner present household</c:v>
                </c:pt>
              </c:strCache>
            </c:strRef>
          </c:cat>
          <c:val>
            <c:numRef>
              <c:f>'Children by Family Type'!$B$13:$B$16</c:f>
              <c:numCache>
                <c:formatCode>0%</c:formatCode>
                <c:ptCount val="4"/>
                <c:pt idx="0" formatCode="0.0%">
                  <c:v>0.71271073152617903</c:v>
                </c:pt>
                <c:pt idx="1">
                  <c:v>6.6969922020051989E-2</c:v>
                </c:pt>
                <c:pt idx="2">
                  <c:v>5.2695878202747862E-2</c:v>
                </c:pt>
                <c:pt idx="3">
                  <c:v>0.16762346825102117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D7-4B78-85F1-E176F9F68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Where</a:t>
            </a:r>
            <a:r>
              <a:rPr lang="en-US" baseline="0"/>
              <a:t> Children under 18 in Travis County Live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'Where Children Live'!$C$2</c:f>
              <c:strCache>
                <c:ptCount val="1"/>
                <c:pt idx="0">
                  <c:v>In Married-Couple Family</c:v>
                </c:pt>
              </c:strCache>
            </c:strRef>
          </c:tx>
          <c:invertIfNegative val="0"/>
          <c:cat>
            <c:numRef>
              <c:f>'Where Children Live'!$A$3:$A$10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'Where Children Live'!$C$3:$C$10</c:f>
              <c:numCache>
                <c:formatCode>0%</c:formatCode>
                <c:ptCount val="8"/>
                <c:pt idx="0">
                  <c:v>0.67193696766952038</c:v>
                </c:pt>
                <c:pt idx="1">
                  <c:v>0.6725497049571314</c:v>
                </c:pt>
                <c:pt idx="2">
                  <c:v>0.66622912361056807</c:v>
                </c:pt>
                <c:pt idx="3">
                  <c:v>0.68229331643965785</c:v>
                </c:pt>
                <c:pt idx="4">
                  <c:v>0.64293921121251629</c:v>
                </c:pt>
                <c:pt idx="5">
                  <c:v>0.6711850361074938</c:v>
                </c:pt>
                <c:pt idx="6">
                  <c:v>0.64984796582117699</c:v>
                </c:pt>
                <c:pt idx="7">
                  <c:v>0.6743894201986399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BD-4C6A-90B8-15332CAB5CCB}"/>
            </c:ext>
          </c:extLst>
        </c:ser>
        <c:ser>
          <c:idx val="1"/>
          <c:order val="1"/>
          <c:tx>
            <c:strRef>
              <c:f>'Where Children Live'!$D$2</c:f>
              <c:strCache>
                <c:ptCount val="1"/>
                <c:pt idx="0">
                  <c:v>In Male Householder Family</c:v>
                </c:pt>
              </c:strCache>
            </c:strRef>
          </c:tx>
          <c:invertIfNegative val="0"/>
          <c:cat>
            <c:numRef>
              <c:f>'Where Children Live'!$A$3:$A$10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'Where Children Live'!$D$3:$D$10</c:f>
              <c:numCache>
                <c:formatCode>0%</c:formatCode>
                <c:ptCount val="8"/>
                <c:pt idx="0">
                  <c:v>5.9946739441424389E-2</c:v>
                </c:pt>
                <c:pt idx="1">
                  <c:v>7.4992289820507027E-2</c:v>
                </c:pt>
                <c:pt idx="2">
                  <c:v>7.2573630915808207E-2</c:v>
                </c:pt>
                <c:pt idx="3">
                  <c:v>7.1355473794498178E-2</c:v>
                </c:pt>
                <c:pt idx="4">
                  <c:v>7.6906779661016944E-2</c:v>
                </c:pt>
                <c:pt idx="5">
                  <c:v>6.2057535219604595E-2</c:v>
                </c:pt>
                <c:pt idx="6">
                  <c:v>8.207151379854509E-2</c:v>
                </c:pt>
                <c:pt idx="7">
                  <c:v>6.1645149900987059E-2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BD-4C6A-90B8-15332CAB5CCB}"/>
            </c:ext>
          </c:extLst>
        </c:ser>
        <c:ser>
          <c:idx val="2"/>
          <c:order val="2"/>
          <c:tx>
            <c:strRef>
              <c:f>'Where Children Live'!$E$2</c:f>
              <c:strCache>
                <c:ptCount val="1"/>
                <c:pt idx="0">
                  <c:v>In Female Householder Family</c:v>
                </c:pt>
              </c:strCache>
            </c:strRef>
          </c:tx>
          <c:invertIfNegative val="0"/>
          <c:cat>
            <c:numRef>
              <c:f>'Where Children Live'!$A$3:$A$10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'Where Children Live'!$E$3:$E$10</c:f>
              <c:numCache>
                <c:formatCode>0%</c:formatCode>
                <c:ptCount val="8"/>
                <c:pt idx="0">
                  <c:v>0.26481061689812269</c:v>
                </c:pt>
                <c:pt idx="1">
                  <c:v>0.25018812837962867</c:v>
                </c:pt>
                <c:pt idx="2">
                  <c:v>0.25502110580030479</c:v>
                </c:pt>
                <c:pt idx="3">
                  <c:v>0.24300496251715764</c:v>
                </c:pt>
                <c:pt idx="4">
                  <c:v>0.27345990873533249</c:v>
                </c:pt>
                <c:pt idx="5">
                  <c:v>0.26504084290280572</c:v>
                </c:pt>
                <c:pt idx="6">
                  <c:v>0.26214926292290519</c:v>
                </c:pt>
                <c:pt idx="7">
                  <c:v>0.25719570790414931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BD-4C6A-90B8-15332CAB5CCB}"/>
            </c:ext>
          </c:extLst>
        </c:ser>
        <c:ser>
          <c:idx val="3"/>
          <c:order val="3"/>
          <c:tx>
            <c:strRef>
              <c:f>'Where Children Live'!$F$2</c:f>
              <c:strCache>
                <c:ptCount val="1"/>
                <c:pt idx="0">
                  <c:v>In Nonfamily Household</c:v>
                </c:pt>
              </c:strCache>
            </c:strRef>
          </c:tx>
          <c:invertIfNegative val="0"/>
          <c:cat>
            <c:numRef>
              <c:f>'Where Children Live'!$A$3:$A$10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'Where Children Live'!$F$3:$F$10</c:f>
              <c:numCache>
                <c:formatCode>0%</c:formatCode>
                <c:ptCount val="8"/>
                <c:pt idx="0">
                  <c:v>3.3056759909324998E-3</c:v>
                </c:pt>
                <c:pt idx="1">
                  <c:v>2.2698768427328988E-3</c:v>
                </c:pt>
                <c:pt idx="2">
                  <c:v>6.1761396733189169E-3</c:v>
                </c:pt>
                <c:pt idx="3">
                  <c:v>3.3462472486862731E-3</c:v>
                </c:pt>
                <c:pt idx="4">
                  <c:v>6.6941003911342896E-3</c:v>
                </c:pt>
                <c:pt idx="5">
                  <c:v>1.7165857700958921E-3</c:v>
                </c:pt>
                <c:pt idx="6">
                  <c:v>5.9312574573726958E-3</c:v>
                </c:pt>
                <c:pt idx="7">
                  <c:v>6.7697219962236923E-3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BD-4C6A-90B8-15332CAB5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582848"/>
        <c:axId val="173284992"/>
      </c:barChart>
      <c:catAx>
        <c:axId val="17258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3284992"/>
        <c:crosses val="autoZero"/>
        <c:auto val="1"/>
        <c:lblAlgn val="ctr"/>
        <c:lblOffset val="100"/>
        <c:noMultiLvlLbl val="0"/>
      </c:catAx>
      <c:valAx>
        <c:axId val="1732849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25828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 b="0"/>
            </a:pPr>
            <a:r>
              <a:rPr lang="en-US" sz="1400" b="0"/>
              <a:t>% of Households w/Children under 18 below Poverty Level in Travis County by Household Type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'Where Children Live'!$B$25</c:f>
              <c:strCache>
                <c:ptCount val="1"/>
                <c:pt idx="0">
                  <c:v>Married-Couple Family</c:v>
                </c:pt>
              </c:strCache>
            </c:strRef>
          </c:tx>
          <c:marker>
            <c:symbol val="none"/>
          </c:marker>
          <c:cat>
            <c:numRef>
              <c:f>'Where Children Live'!$A$30:$A$39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'Where Children Live'!$B$30:$B$39</c:f>
              <c:numCache>
                <c:formatCode>0%</c:formatCode>
                <c:ptCount val="10"/>
                <c:pt idx="0">
                  <c:v>0.10986458922120371</c:v>
                </c:pt>
                <c:pt idx="1">
                  <c:v>0.10010232349197634</c:v>
                </c:pt>
                <c:pt idx="2">
                  <c:v>9.6888695251031554E-2</c:v>
                </c:pt>
                <c:pt idx="3">
                  <c:v>9.3394049934169998E-2</c:v>
                </c:pt>
                <c:pt idx="4">
                  <c:v>9.9025241249740756E-2</c:v>
                </c:pt>
                <c:pt idx="5">
                  <c:v>6.7403988504746146E-2</c:v>
                </c:pt>
                <c:pt idx="6">
                  <c:v>4.3175325731007734E-2</c:v>
                </c:pt>
                <c:pt idx="7">
                  <c:v>5.5791801326756249E-2</c:v>
                </c:pt>
                <c:pt idx="8">
                  <c:v>7.6102176348215714E-2</c:v>
                </c:pt>
                <c:pt idx="9">
                  <c:v>4.2374881964117095E-2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34-48D2-A4CE-316B5F20D57B}"/>
            </c:ext>
          </c:extLst>
        </c:ser>
        <c:ser>
          <c:idx val="1"/>
          <c:order val="1"/>
          <c:tx>
            <c:strRef>
              <c:f>'Where Children Live'!$C$25</c:f>
              <c:strCache>
                <c:ptCount val="1"/>
                <c:pt idx="0">
                  <c:v>Male Householder Family</c:v>
                </c:pt>
              </c:strCache>
            </c:strRef>
          </c:tx>
          <c:marker>
            <c:symbol val="none"/>
          </c:marker>
          <c:cat>
            <c:numRef>
              <c:f>'Where Children Live'!$A$30:$A$39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'Where Children Live'!$C$30:$C$39</c:f>
              <c:numCache>
                <c:formatCode>0%</c:formatCode>
                <c:ptCount val="10"/>
                <c:pt idx="0">
                  <c:v>0.18575616111171425</c:v>
                </c:pt>
                <c:pt idx="1">
                  <c:v>0.30405225273260467</c:v>
                </c:pt>
                <c:pt idx="2">
                  <c:v>0.25658593071504393</c:v>
                </c:pt>
                <c:pt idx="3">
                  <c:v>0.22639780018331807</c:v>
                </c:pt>
                <c:pt idx="4">
                  <c:v>0.19285053216103656</c:v>
                </c:pt>
                <c:pt idx="5">
                  <c:v>7.5266123982467126E-2</c:v>
                </c:pt>
                <c:pt idx="6">
                  <c:v>9.53625980459612E-2</c:v>
                </c:pt>
                <c:pt idx="7">
                  <c:v>6.953883495145631E-2</c:v>
                </c:pt>
                <c:pt idx="8">
                  <c:v>7.5788751714677638E-2</c:v>
                </c:pt>
                <c:pt idx="9">
                  <c:v>0.17661667781067913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34-48D2-A4CE-316B5F20D57B}"/>
            </c:ext>
          </c:extLst>
        </c:ser>
        <c:ser>
          <c:idx val="2"/>
          <c:order val="2"/>
          <c:tx>
            <c:strRef>
              <c:f>'Where Children Live'!$D$25</c:f>
              <c:strCache>
                <c:ptCount val="1"/>
                <c:pt idx="0">
                  <c:v>Female Householder Family</c:v>
                </c:pt>
              </c:strCache>
            </c:strRef>
          </c:tx>
          <c:marker>
            <c:symbol val="none"/>
          </c:marker>
          <c:cat>
            <c:numRef>
              <c:f>'Where Children Live'!$A$30:$A$39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'Where Children Live'!$D$30:$D$39</c:f>
              <c:numCache>
                <c:formatCode>0%</c:formatCode>
                <c:ptCount val="10"/>
                <c:pt idx="0">
                  <c:v>0.43501860096359091</c:v>
                </c:pt>
                <c:pt idx="1">
                  <c:v>0.48052186696067622</c:v>
                </c:pt>
                <c:pt idx="2">
                  <c:v>0.46315298507462688</c:v>
                </c:pt>
                <c:pt idx="3">
                  <c:v>0.36304487071435798</c:v>
                </c:pt>
                <c:pt idx="4">
                  <c:v>0.40566296448649392</c:v>
                </c:pt>
                <c:pt idx="5">
                  <c:v>0.40056378290387901</c:v>
                </c:pt>
                <c:pt idx="6">
                  <c:v>0.35401574803149605</c:v>
                </c:pt>
                <c:pt idx="7">
                  <c:v>0.29502440695384086</c:v>
                </c:pt>
                <c:pt idx="8">
                  <c:v>0.35869236583522296</c:v>
                </c:pt>
                <c:pt idx="9">
                  <c:v>0.36939024390243902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34-48D2-A4CE-316B5F20D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285776"/>
        <c:axId val="173286168"/>
      </c:lineChart>
      <c:catAx>
        <c:axId val="17328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3286168"/>
        <c:crosses val="autoZero"/>
        <c:auto val="1"/>
        <c:lblAlgn val="ctr"/>
        <c:lblOffset val="100"/>
        <c:noMultiLvlLbl val="0"/>
      </c:catAx>
      <c:valAx>
        <c:axId val="1732861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32857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w Cen MT" panose="020B0602020104020603" pitchFamily="34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757566018533397E-2"/>
          <c:y val="4.4839825485390485E-2"/>
          <c:w val="0.57466002463977717"/>
          <c:h val="0.9323954042168569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'Where Children Live'!$C$19:$F$19</c:f>
              <c:strCache>
                <c:ptCount val="4"/>
                <c:pt idx="0">
                  <c:v>In Married-Couple Family</c:v>
                </c:pt>
                <c:pt idx="1">
                  <c:v>Cohabitating Couple Household</c:v>
                </c:pt>
                <c:pt idx="2">
                  <c:v>In Female Householder Family</c:v>
                </c:pt>
                <c:pt idx="3">
                  <c:v>In Male Householder Family</c:v>
                </c:pt>
              </c:strCache>
            </c:strRef>
          </c:cat>
          <c:val>
            <c:numRef>
              <c:f>'Where Children Live'!$C$20:$F$20</c:f>
              <c:numCache>
                <c:formatCode>0.0%</c:formatCode>
                <c:ptCount val="4"/>
                <c:pt idx="0">
                  <c:v>0.71271073152617903</c:v>
                </c:pt>
                <c:pt idx="1">
                  <c:v>6.6969922020051989E-2</c:v>
                </c:pt>
                <c:pt idx="2">
                  <c:v>0.16762346825102117</c:v>
                </c:pt>
                <c:pt idx="3">
                  <c:v>5.2695878202747862E-2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EC-414A-9EA4-14292C58E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w Cen MT" panose="020B0602020104020603" pitchFamily="34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Number of Related Children Living in Familes with Incomes Below the Poverty Level, by Household Type,</a:t>
            </a:r>
          </a:p>
          <a:p>
            <a:pPr>
              <a:defRPr sz="1400" b="0"/>
            </a:pPr>
            <a:r>
              <a:rPr lang="en-US" sz="1400" b="0"/>
              <a:t>Travis County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'Poverty by Family Type'!$A$3</c:f>
              <c:strCache>
                <c:ptCount val="1"/>
                <c:pt idx="0">
                  <c:v>Married-Couple</c:v>
                </c:pt>
              </c:strCache>
            </c:strRef>
          </c:tx>
          <c:marker>
            <c:symbol val="none"/>
          </c:marker>
          <c:cat>
            <c:numRef>
              <c:f>'Poverty by Family Type'!$H$2:$P$2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'Poverty by Family Type'!$H$3:$P$3</c:f>
              <c:numCache>
                <c:formatCode>#,##0</c:formatCode>
                <c:ptCount val="9"/>
                <c:pt idx="0">
                  <c:v>22537</c:v>
                </c:pt>
                <c:pt idx="1">
                  <c:v>22575</c:v>
                </c:pt>
                <c:pt idx="2">
                  <c:v>21806</c:v>
                </c:pt>
                <c:pt idx="3" formatCode="_(* #,##0_);_(* \(#,##0\);_(* &quot;-&quot;??_);_(@_)">
                  <c:v>24671</c:v>
                </c:pt>
                <c:pt idx="4" formatCode="_(* #,##0_);_(* \(#,##0\);_(* &quot;-&quot;??_);_(@_)">
                  <c:v>17445</c:v>
                </c:pt>
                <c:pt idx="5" formatCode="_(* #,##0_);_(* \(#,##0\);_(* &quot;-&quot;??_);_(@_)">
                  <c:v>12927</c:v>
                </c:pt>
                <c:pt idx="6" formatCode="_(* #,##0_);_(* \(#,##0\);_(* &quot;-&quot;??_);_(@_)">
                  <c:v>16721</c:v>
                </c:pt>
                <c:pt idx="7" formatCode="_(* #,##0_);_(* \(#,##0\);_(* &quot;-&quot;??_);_(@_)">
                  <c:v>17110</c:v>
                </c:pt>
                <c:pt idx="8" formatCode="_(* #,##0_);_(* \(#,##0\);_(* &quot;-&quot;??_);_(@_)">
                  <c:v>8320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7A-4211-80D0-D5F2A7C9D738}"/>
            </c:ext>
          </c:extLst>
        </c:ser>
        <c:ser>
          <c:idx val="1"/>
          <c:order val="1"/>
          <c:tx>
            <c:strRef>
              <c:f>'Poverty by Family Type'!$A$4</c:f>
              <c:strCache>
                <c:ptCount val="1"/>
                <c:pt idx="0">
                  <c:v>Male Householder, No Wife</c:v>
                </c:pt>
              </c:strCache>
            </c:strRef>
          </c:tx>
          <c:marker>
            <c:symbol val="none"/>
          </c:marker>
          <c:cat>
            <c:numRef>
              <c:f>'Poverty by Family Type'!$H$2:$P$2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'Poverty by Family Type'!$H$4:$P$4</c:f>
              <c:numCache>
                <c:formatCode>#,##0</c:formatCode>
                <c:ptCount val="9"/>
                <c:pt idx="0">
                  <c:v>5969</c:v>
                </c:pt>
                <c:pt idx="1">
                  <c:v>6505</c:v>
                </c:pt>
                <c:pt idx="2">
                  <c:v>4108</c:v>
                </c:pt>
                <c:pt idx="3" formatCode="_(* #,##0_);_(* \(#,##0\);_(* &quot;-&quot;??_);_(@_)">
                  <c:v>5860</c:v>
                </c:pt>
                <c:pt idx="4" formatCode="_(* #,##0_);_(* \(#,##0\);_(* &quot;-&quot;??_);_(@_)">
                  <c:v>1343</c:v>
                </c:pt>
                <c:pt idx="5" formatCode="_(* #,##0_);_(* \(#,##0\);_(* &quot;-&quot;??_);_(@_)">
                  <c:v>1306</c:v>
                </c:pt>
                <c:pt idx="6" formatCode="_(* #,##0_);_(* \(#,##0\);_(* &quot;-&quot;??_);_(@_)">
                  <c:v>1305</c:v>
                </c:pt>
                <c:pt idx="7" formatCode="_(* #,##0_);_(* \(#,##0\);_(* &quot;-&quot;??_);_(@_)">
                  <c:v>2127</c:v>
                </c:pt>
                <c:pt idx="8" formatCode="_(* #,##0_);_(* \(#,##0\);_(* &quot;-&quot;??_);_(@_)">
                  <c:v>5052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7A-4211-80D0-D5F2A7C9D738}"/>
            </c:ext>
          </c:extLst>
        </c:ser>
        <c:ser>
          <c:idx val="2"/>
          <c:order val="2"/>
          <c:tx>
            <c:strRef>
              <c:f>'Poverty by Family Type'!$A$5</c:f>
              <c:strCache>
                <c:ptCount val="1"/>
                <c:pt idx="0">
                  <c:v>Female Householder, No Husband</c:v>
                </c:pt>
              </c:strCache>
            </c:strRef>
          </c:tx>
          <c:marker>
            <c:symbol val="none"/>
          </c:marker>
          <c:cat>
            <c:numRef>
              <c:f>'Poverty by Family Type'!$H$2:$P$2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'Poverty by Family Type'!$H$5:$P$5</c:f>
              <c:numCache>
                <c:formatCode>#,##0</c:formatCode>
                <c:ptCount val="9"/>
                <c:pt idx="0">
                  <c:v>34594</c:v>
                </c:pt>
                <c:pt idx="1">
                  <c:v>38492</c:v>
                </c:pt>
                <c:pt idx="2">
                  <c:v>28320</c:v>
                </c:pt>
                <c:pt idx="3" formatCode="_(* #,##0_);_(* \(#,##0\);_(* &quot;-&quot;??_);_(@_)">
                  <c:v>32026</c:v>
                </c:pt>
                <c:pt idx="4" formatCode="_(* #,##0_);_(* \(#,##0\);_(* &quot;-&quot;??_);_(@_)">
                  <c:v>29530</c:v>
                </c:pt>
                <c:pt idx="5" formatCode="_(* #,##0_);_(* \(#,##0\);_(* &quot;-&quot;??_);_(@_)">
                  <c:v>29590</c:v>
                </c:pt>
                <c:pt idx="6" formatCode="_(* #,##0_);_(* \(#,##0\);_(* &quot;-&quot;??_);_(@_)">
                  <c:v>20867</c:v>
                </c:pt>
                <c:pt idx="7" formatCode="_(* #,##0_);_(* \(#,##0\);_(* &quot;-&quot;??_);_(@_)">
                  <c:v>22181</c:v>
                </c:pt>
                <c:pt idx="8" formatCode="_(* #,##0_);_(* \(#,##0\);_(* &quot;-&quot;??_);_(@_)">
                  <c:v>22741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7A-4211-80D0-D5F2A7C9D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287344"/>
        <c:axId val="173749248"/>
      </c:lineChart>
      <c:catAx>
        <c:axId val="17328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73749248"/>
        <c:crosses val="autoZero"/>
        <c:auto val="1"/>
        <c:lblAlgn val="ctr"/>
        <c:lblOffset val="100"/>
        <c:noMultiLvlLbl val="0"/>
      </c:catAx>
      <c:valAx>
        <c:axId val="1737492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732873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Percent of Related Children Living in Familes with Incomes Below the Poverty Level, by Household Type,</a:t>
            </a:r>
          </a:p>
          <a:p>
            <a:pPr>
              <a:defRPr b="0"/>
            </a:pPr>
            <a:r>
              <a:rPr lang="en-US" b="0"/>
              <a:t>Travis County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'Poverty by Family Type'!$A$9</c:f>
              <c:strCache>
                <c:ptCount val="1"/>
                <c:pt idx="0">
                  <c:v>Married-Couple</c:v>
                </c:pt>
              </c:strCache>
            </c:strRef>
          </c:tx>
          <c:marker>
            <c:symbol val="none"/>
          </c:marker>
          <c:cat>
            <c:numRef>
              <c:f>'Poverty by Family Type'!$E$2:$M$2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'Poverty by Family Type'!$E$9:$M$9</c:f>
              <c:numCache>
                <c:formatCode>0%</c:formatCode>
                <c:ptCount val="9"/>
                <c:pt idx="0">
                  <c:v>0.11046291340145424</c:v>
                </c:pt>
                <c:pt idx="1">
                  <c:v>0.12912082981892575</c:v>
                </c:pt>
                <c:pt idx="2">
                  <c:v>0.13902767712981681</c:v>
                </c:pt>
                <c:pt idx="3">
                  <c:v>0.13294439659749177</c:v>
                </c:pt>
                <c:pt idx="4">
                  <c:v>0.1343006549945566</c:v>
                </c:pt>
                <c:pt idx="5">
                  <c:v>0.12541193386053198</c:v>
                </c:pt>
                <c:pt idx="6">
                  <c:v>0.13908871549702329</c:v>
                </c:pt>
                <c:pt idx="7">
                  <c:v>9.0356765491951027E-2</c:v>
                </c:pt>
                <c:pt idx="8">
                  <c:v>7.1204309604071647E-2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4E-4B36-B334-EDAE71B6A62D}"/>
            </c:ext>
          </c:extLst>
        </c:ser>
        <c:ser>
          <c:idx val="1"/>
          <c:order val="1"/>
          <c:tx>
            <c:strRef>
              <c:f>'Poverty by Family Type'!$A$10</c:f>
              <c:strCache>
                <c:ptCount val="1"/>
                <c:pt idx="0">
                  <c:v>Male Householder, No Wife</c:v>
                </c:pt>
              </c:strCache>
            </c:strRef>
          </c:tx>
          <c:marker>
            <c:symbol val="none"/>
          </c:marker>
          <c:cat>
            <c:numRef>
              <c:f>'Poverty by Family Type'!$E$2:$M$2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'Poverty by Family Type'!$E$10:$M$10</c:f>
              <c:numCache>
                <c:formatCode>0%</c:formatCode>
                <c:ptCount val="9"/>
                <c:pt idx="0">
                  <c:v>0.24618458294022977</c:v>
                </c:pt>
                <c:pt idx="1">
                  <c:v>0.3488973121984838</c:v>
                </c:pt>
                <c:pt idx="2">
                  <c:v>0.24647774146890233</c:v>
                </c:pt>
                <c:pt idx="3">
                  <c:v>0.38316857106175378</c:v>
                </c:pt>
                <c:pt idx="4">
                  <c:v>0.32201376169496559</c:v>
                </c:pt>
                <c:pt idx="5">
                  <c:v>0.26165884194053207</c:v>
                </c:pt>
                <c:pt idx="6">
                  <c:v>0.30387886330636799</c:v>
                </c:pt>
                <c:pt idx="7">
                  <c:v>9.8165338791024043E-2</c:v>
                </c:pt>
                <c:pt idx="8">
                  <c:v>8.973478081627044E-2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4E-4B36-B334-EDAE71B6A62D}"/>
            </c:ext>
          </c:extLst>
        </c:ser>
        <c:ser>
          <c:idx val="2"/>
          <c:order val="2"/>
          <c:tx>
            <c:strRef>
              <c:f>'Poverty by Family Type'!$A$11</c:f>
              <c:strCache>
                <c:ptCount val="1"/>
                <c:pt idx="0">
                  <c:v>Female Householder, No Husband</c:v>
                </c:pt>
              </c:strCache>
            </c:strRef>
          </c:tx>
          <c:marker>
            <c:symbol val="none"/>
          </c:marker>
          <c:cat>
            <c:numRef>
              <c:f>'Poverty by Family Type'!$E$2:$M$2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'Poverty by Family Type'!$E$11:$M$11</c:f>
              <c:numCache>
                <c:formatCode>0%</c:formatCode>
                <c:ptCount val="9"/>
                <c:pt idx="0">
                  <c:v>0.37588852356348834</c:v>
                </c:pt>
                <c:pt idx="1">
                  <c:v>0.47877342647947874</c:v>
                </c:pt>
                <c:pt idx="2">
                  <c:v>0.52020352741054643</c:v>
                </c:pt>
                <c:pt idx="3">
                  <c:v>0.52059412198462029</c:v>
                </c:pt>
                <c:pt idx="4">
                  <c:v>0.56602552791012295</c:v>
                </c:pt>
                <c:pt idx="5">
                  <c:v>0.43289513910119232</c:v>
                </c:pt>
                <c:pt idx="6">
                  <c:v>0.5001249297270286</c:v>
                </c:pt>
                <c:pt idx="7">
                  <c:v>0.50660490650197287</c:v>
                </c:pt>
                <c:pt idx="8">
                  <c:v>0.41475106526126937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4E-4B36-B334-EDAE71B6A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750032"/>
        <c:axId val="173750424"/>
      </c:lineChart>
      <c:catAx>
        <c:axId val="17375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3750424"/>
        <c:crosses val="autoZero"/>
        <c:auto val="1"/>
        <c:lblAlgn val="ctr"/>
        <c:lblOffset val="100"/>
        <c:noMultiLvlLbl val="0"/>
      </c:catAx>
      <c:valAx>
        <c:axId val="1737504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3750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orbel" panose="020B05030202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Travis County Children &amp; Youth</a:t>
            </a:r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2"/>
          <c:order val="0"/>
          <c:tx>
            <c:strRef>
              <c:f>'Travis County Pop # &amp; %'!$A$14</c:f>
              <c:strCache>
                <c:ptCount val="1"/>
                <c:pt idx="0">
                  <c:v>  Under 5 years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'Travis County Pop # &amp; %'!$B$13:$O$13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'Travis County Pop # &amp; %'!$B$14:$O$14</c:f>
              <c:numCache>
                <c:formatCode>0.0%</c:formatCode>
                <c:ptCount val="14"/>
                <c:pt idx="0">
                  <c:v>8.1290458476926314E-2</c:v>
                </c:pt>
                <c:pt idx="1">
                  <c:v>8.1000000000000003E-2</c:v>
                </c:pt>
                <c:pt idx="2">
                  <c:v>8.3000000000000004E-2</c:v>
                </c:pt>
                <c:pt idx="3">
                  <c:v>0.08</c:v>
                </c:pt>
                <c:pt idx="4">
                  <c:v>7.3999999999999996E-2</c:v>
                </c:pt>
                <c:pt idx="5">
                  <c:v>7.3999999999999996E-2</c:v>
                </c:pt>
                <c:pt idx="6">
                  <c:v>7.1999999999999995E-2</c:v>
                </c:pt>
                <c:pt idx="7">
                  <c:v>7.0000000000000007E-2</c:v>
                </c:pt>
                <c:pt idx="8" formatCode="0.00%">
                  <c:v>6.9000000000000006E-2</c:v>
                </c:pt>
                <c:pt idx="9" formatCode="0.00%">
                  <c:v>6.8000000000000005E-2</c:v>
                </c:pt>
                <c:pt idx="10" formatCode="0.00%">
                  <c:v>6.6000000000000003E-2</c:v>
                </c:pt>
                <c:pt idx="11" formatCode="0.00%">
                  <c:v>6.4000000000000001E-2</c:v>
                </c:pt>
                <c:pt idx="12" formatCode="0.00%">
                  <c:v>6.2779130693825708E-2</c:v>
                </c:pt>
                <c:pt idx="13" formatCode="0.00%">
                  <c:v>6.1477021292611851E-2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06-4F8A-AFFE-D582FEBC0155}"/>
            </c:ext>
          </c:extLst>
        </c:ser>
        <c:ser>
          <c:idx val="3"/>
          <c:order val="1"/>
          <c:tx>
            <c:strRef>
              <c:f>'Travis County Pop # &amp; %'!$A$15</c:f>
              <c:strCache>
                <c:ptCount val="1"/>
                <c:pt idx="0">
                  <c:v>  5 to 9 years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'Travis County Pop # &amp; %'!$B$13:$O$13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'Travis County Pop # &amp; %'!$B$15:$O$15</c:f>
              <c:numCache>
                <c:formatCode>0.0%</c:formatCode>
                <c:ptCount val="14"/>
                <c:pt idx="0">
                  <c:v>6.841974970847095E-2</c:v>
                </c:pt>
                <c:pt idx="1">
                  <c:v>7.400000000000001E-2</c:v>
                </c:pt>
                <c:pt idx="2">
                  <c:v>7.0999999999999994E-2</c:v>
                </c:pt>
                <c:pt idx="3">
                  <c:v>6.7000000000000004E-2</c:v>
                </c:pt>
                <c:pt idx="4">
                  <c:v>7.0999999999999994E-2</c:v>
                </c:pt>
                <c:pt idx="5">
                  <c:v>6.9000000000000006E-2</c:v>
                </c:pt>
                <c:pt idx="6">
                  <c:v>7.2999999999999995E-2</c:v>
                </c:pt>
                <c:pt idx="7">
                  <c:v>6.5000000000000002E-2</c:v>
                </c:pt>
                <c:pt idx="8" formatCode="0.00%">
                  <c:v>6.9000000000000006E-2</c:v>
                </c:pt>
                <c:pt idx="9" formatCode="0.00%">
                  <c:v>6.6000000000000003E-2</c:v>
                </c:pt>
                <c:pt idx="10" formatCode="0.00%">
                  <c:v>6.3E-2</c:v>
                </c:pt>
                <c:pt idx="11" formatCode="0.00%">
                  <c:v>0.06</c:v>
                </c:pt>
                <c:pt idx="12" formatCode="0.00%">
                  <c:v>5.8592520638754329E-2</c:v>
                </c:pt>
                <c:pt idx="13" formatCode="0.00%">
                  <c:v>5.7443365047892159E-2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06-4F8A-AFFE-D582FEBC0155}"/>
            </c:ext>
          </c:extLst>
        </c:ser>
        <c:ser>
          <c:idx val="4"/>
          <c:order val="2"/>
          <c:tx>
            <c:strRef>
              <c:f>'Travis County Pop # &amp; %'!$A$16</c:f>
              <c:strCache>
                <c:ptCount val="1"/>
                <c:pt idx="0">
                  <c:v>  10 to 14 years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'Travis County Pop # &amp; %'!$B$13:$O$13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'Travis County Pop # &amp; %'!$B$16:$O$16</c:f>
              <c:numCache>
                <c:formatCode>0.0%</c:formatCode>
                <c:ptCount val="14"/>
                <c:pt idx="0">
                  <c:v>6.2110344558015909E-2</c:v>
                </c:pt>
                <c:pt idx="1">
                  <c:v>0.06</c:v>
                </c:pt>
                <c:pt idx="2">
                  <c:v>6.4000000000000001E-2</c:v>
                </c:pt>
                <c:pt idx="3">
                  <c:v>0.06</c:v>
                </c:pt>
                <c:pt idx="4">
                  <c:v>0.06</c:v>
                </c:pt>
                <c:pt idx="5">
                  <c:v>6.0999999999999999E-2</c:v>
                </c:pt>
                <c:pt idx="6">
                  <c:v>5.8000000000000003E-2</c:v>
                </c:pt>
                <c:pt idx="7">
                  <c:v>6.4000000000000001E-2</c:v>
                </c:pt>
                <c:pt idx="8" formatCode="0.00%">
                  <c:v>5.8999999999999997E-2</c:v>
                </c:pt>
                <c:pt idx="9" formatCode="0.00%">
                  <c:v>0.06</c:v>
                </c:pt>
                <c:pt idx="10" formatCode="0.00%">
                  <c:v>6.2E-2</c:v>
                </c:pt>
                <c:pt idx="11" formatCode="0.00%">
                  <c:v>6.2E-2</c:v>
                </c:pt>
                <c:pt idx="12" formatCode="0.00%">
                  <c:v>6.1091833948218328E-2</c:v>
                </c:pt>
                <c:pt idx="13" formatCode="0.00%">
                  <c:v>6.2672623590282389E-2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06-4F8A-AFFE-D582FEBC0155}"/>
            </c:ext>
          </c:extLst>
        </c:ser>
        <c:ser>
          <c:idx val="5"/>
          <c:order val="3"/>
          <c:tx>
            <c:strRef>
              <c:f>'Travis County Pop # &amp; %'!$A$17</c:f>
              <c:strCache>
                <c:ptCount val="1"/>
                <c:pt idx="0">
                  <c:v>  15 to 19 years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'Travis County Pop # &amp; %'!$B$13:$O$13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'Travis County Pop # &amp; %'!$B$17:$O$17</c:f>
              <c:numCache>
                <c:formatCode>0.0%</c:formatCode>
                <c:ptCount val="14"/>
                <c:pt idx="0">
                  <c:v>6.8724850869592596E-2</c:v>
                </c:pt>
                <c:pt idx="1">
                  <c:v>6.6000000000000003E-2</c:v>
                </c:pt>
                <c:pt idx="2">
                  <c:v>6.6000000000000003E-2</c:v>
                </c:pt>
                <c:pt idx="3">
                  <c:v>5.8999999999999997E-2</c:v>
                </c:pt>
                <c:pt idx="4">
                  <c:v>6.5000000000000002E-2</c:v>
                </c:pt>
                <c:pt idx="5">
                  <c:v>6.2E-2</c:v>
                </c:pt>
                <c:pt idx="6">
                  <c:v>6.2E-2</c:v>
                </c:pt>
                <c:pt idx="7">
                  <c:v>6.0999999999999999E-2</c:v>
                </c:pt>
                <c:pt idx="8" formatCode="0.00%">
                  <c:v>0.06</c:v>
                </c:pt>
                <c:pt idx="9" formatCode="0.00%">
                  <c:v>6.0999999999999999E-2</c:v>
                </c:pt>
                <c:pt idx="10" formatCode="0.00%">
                  <c:v>0.06</c:v>
                </c:pt>
                <c:pt idx="11" formatCode="0.00%">
                  <c:v>0.06</c:v>
                </c:pt>
                <c:pt idx="12" formatCode="0.00%">
                  <c:v>5.9591124835134214E-2</c:v>
                </c:pt>
                <c:pt idx="13" formatCode="0.00%">
                  <c:v>6.1691637110278093E-2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06-4F8A-AFFE-D582FEBC0155}"/>
            </c:ext>
          </c:extLst>
        </c:ser>
        <c:ser>
          <c:idx val="6"/>
          <c:order val="4"/>
          <c:tx>
            <c:strRef>
              <c:f>'Travis County Pop # &amp; %'!$A$18</c:f>
              <c:strCache>
                <c:ptCount val="1"/>
                <c:pt idx="0">
                  <c:v>  20 to 24 years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'Travis County Pop # &amp; %'!$B$13:$O$13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'Travis County Pop # &amp; %'!$B$18:$O$18</c:f>
              <c:numCache>
                <c:formatCode>0.0%</c:formatCode>
                <c:ptCount val="14"/>
                <c:pt idx="0">
                  <c:v>8.6004868589346861E-2</c:v>
                </c:pt>
                <c:pt idx="1">
                  <c:v>8.6999999999999994E-2</c:v>
                </c:pt>
                <c:pt idx="2">
                  <c:v>8.5999999999999993E-2</c:v>
                </c:pt>
                <c:pt idx="3">
                  <c:v>7.3999999999999996E-2</c:v>
                </c:pt>
                <c:pt idx="4">
                  <c:v>9.6000000000000002E-2</c:v>
                </c:pt>
                <c:pt idx="5">
                  <c:v>9.1999999999999998E-2</c:v>
                </c:pt>
                <c:pt idx="6">
                  <c:v>8.5999999999999993E-2</c:v>
                </c:pt>
                <c:pt idx="7">
                  <c:v>7.8E-2</c:v>
                </c:pt>
                <c:pt idx="8" formatCode="0.00%">
                  <c:v>7.3999999999999996E-2</c:v>
                </c:pt>
                <c:pt idx="9" formatCode="0.00%">
                  <c:v>7.0000000000000007E-2</c:v>
                </c:pt>
                <c:pt idx="10" formatCode="0.00%">
                  <c:v>6.9000000000000006E-2</c:v>
                </c:pt>
                <c:pt idx="11" formatCode="0.00%">
                  <c:v>6.7000000000000004E-2</c:v>
                </c:pt>
                <c:pt idx="12" formatCode="0.00%">
                  <c:v>6.6276247394379789E-2</c:v>
                </c:pt>
                <c:pt idx="13" formatCode="0.00%">
                  <c:v>6.5284850445608097E-2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06-4F8A-AFFE-D582FEBC0155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axId val="171952296"/>
        <c:axId val="171952688"/>
      </c:areaChart>
      <c:catAx>
        <c:axId val="171952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71952688"/>
        <c:crosses val="autoZero"/>
        <c:auto val="1"/>
        <c:lblAlgn val="ctr"/>
        <c:lblOffset val="100"/>
        <c:noMultiLvlLbl val="0"/>
      </c:catAx>
      <c:valAx>
        <c:axId val="17195268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71952296"/>
        <c:crosses val="autoZero"/>
        <c:crossBetween val="midCat"/>
      </c:valAx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Tw Cen MT" panose="020B0602020104020603" pitchFamily="34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Percent of Related Children Living in Familes with Incomes Below the Poverty Level, by Household Type,</a:t>
            </a:r>
          </a:p>
          <a:p>
            <a:pPr>
              <a:defRPr b="0"/>
            </a:pPr>
            <a:r>
              <a:rPr lang="en-US" b="0"/>
              <a:t>Travis County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'Poverty by Family Type'!$A$9</c:f>
              <c:strCache>
                <c:ptCount val="1"/>
                <c:pt idx="0">
                  <c:v>Married-Couple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'Poverty by Family Type'!$M$38:$U$38</c:f>
                <c:numCache>
                  <c:formatCode>General</c:formatCode>
                  <c:ptCount val="9"/>
                  <c:pt idx="0">
                    <c:v>2.0607348218655931E-2</c:v>
                  </c:pt>
                  <c:pt idx="1">
                    <c:v>2.6924701405274601E-2</c:v>
                  </c:pt>
                  <c:pt idx="2">
                    <c:v>2.3986983174562417E-2</c:v>
                  </c:pt>
                  <c:pt idx="3">
                    <c:v>2.6338773992451318E-2</c:v>
                  </c:pt>
                  <c:pt idx="4">
                    <c:v>2.5000839365632944E-2</c:v>
                  </c:pt>
                  <c:pt idx="5">
                    <c:v>2.6013299020478678E-2</c:v>
                  </c:pt>
                  <c:pt idx="6">
                    <c:v>3.1168562134664689E-2</c:v>
                  </c:pt>
                  <c:pt idx="7">
                    <c:v>2.9321603113115834E-2</c:v>
                  </c:pt>
                  <c:pt idx="8">
                    <c:v>2.3523059713467069E-2</c:v>
                  </c:pt>
                </c:numCache>
              </c:numRef>
            </c:plus>
            <c:minus>
              <c:numRef>
                <c:f>'Poverty by Family Type'!$M$38:$U$38</c:f>
                <c:numCache>
                  <c:formatCode>General</c:formatCode>
                  <c:ptCount val="9"/>
                  <c:pt idx="0">
                    <c:v>2.0607348218655931E-2</c:v>
                  </c:pt>
                  <c:pt idx="1">
                    <c:v>2.6924701405274601E-2</c:v>
                  </c:pt>
                  <c:pt idx="2">
                    <c:v>2.3986983174562417E-2</c:v>
                  </c:pt>
                  <c:pt idx="3">
                    <c:v>2.6338773992451318E-2</c:v>
                  </c:pt>
                  <c:pt idx="4">
                    <c:v>2.5000839365632944E-2</c:v>
                  </c:pt>
                  <c:pt idx="5">
                    <c:v>2.6013299020478678E-2</c:v>
                  </c:pt>
                  <c:pt idx="6">
                    <c:v>3.1168562134664689E-2</c:v>
                  </c:pt>
                  <c:pt idx="7">
                    <c:v>2.9321603113115834E-2</c:v>
                  </c:pt>
                  <c:pt idx="8">
                    <c:v>2.3523059713467069E-2</c:v>
                  </c:pt>
                </c:numCache>
              </c:numRef>
            </c:minus>
          </c:errBars>
          <c:cat>
            <c:numRef>
              <c:f>'Poverty by Family Type'!$E$2:$M$2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'Poverty by Family Type'!$E$9:$M$9</c:f>
              <c:numCache>
                <c:formatCode>0%</c:formatCode>
                <c:ptCount val="9"/>
                <c:pt idx="0">
                  <c:v>0.11046291340145424</c:v>
                </c:pt>
                <c:pt idx="1">
                  <c:v>0.12912082981892575</c:v>
                </c:pt>
                <c:pt idx="2">
                  <c:v>0.13902767712981681</c:v>
                </c:pt>
                <c:pt idx="3">
                  <c:v>0.13294439659749177</c:v>
                </c:pt>
                <c:pt idx="4">
                  <c:v>0.1343006549945566</c:v>
                </c:pt>
                <c:pt idx="5">
                  <c:v>0.12541193386053198</c:v>
                </c:pt>
                <c:pt idx="6">
                  <c:v>0.13908871549702329</c:v>
                </c:pt>
                <c:pt idx="7">
                  <c:v>9.0356765491951027E-2</c:v>
                </c:pt>
                <c:pt idx="8">
                  <c:v>7.1204309604071647E-2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A5-4A02-87A3-13B669CB0608}"/>
            </c:ext>
          </c:extLst>
        </c:ser>
        <c:ser>
          <c:idx val="1"/>
          <c:order val="1"/>
          <c:tx>
            <c:strRef>
              <c:f>'Poverty by Family Type'!$A$10</c:f>
              <c:strCache>
                <c:ptCount val="1"/>
                <c:pt idx="0">
                  <c:v>Male Householder, No Wife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'Poverty by Family Type'!$M$39:$U$39</c:f>
                <c:numCache>
                  <c:formatCode>General</c:formatCode>
                  <c:ptCount val="9"/>
                  <c:pt idx="0">
                    <c:v>0.16137539941964194</c:v>
                  </c:pt>
                  <c:pt idx="1">
                    <c:v>6.7115890443042323E-2</c:v>
                  </c:pt>
                  <c:pt idx="2">
                    <c:v>9.5316379409006197E-2</c:v>
                  </c:pt>
                  <c:pt idx="3">
                    <c:v>9.0284603834592289E-2</c:v>
                  </c:pt>
                  <c:pt idx="4">
                    <c:v>0.10236522859364972</c:v>
                  </c:pt>
                  <c:pt idx="5">
                    <c:v>0.11898953049116473</c:v>
                  </c:pt>
                  <c:pt idx="6">
                    <c:v>0.16478448356818765</c:v>
                  </c:pt>
                  <c:pt idx="7">
                    <c:v>0.12359224541415978</c:v>
                  </c:pt>
                  <c:pt idx="8">
                    <c:v>0.11824012967883975</c:v>
                  </c:pt>
                </c:numCache>
              </c:numRef>
            </c:plus>
            <c:minus>
              <c:numRef>
                <c:f>'Poverty by Family Type'!$M$39:$U$39</c:f>
                <c:numCache>
                  <c:formatCode>General</c:formatCode>
                  <c:ptCount val="9"/>
                  <c:pt idx="0">
                    <c:v>0.16137539941964194</c:v>
                  </c:pt>
                  <c:pt idx="1">
                    <c:v>6.7115890443042323E-2</c:v>
                  </c:pt>
                  <c:pt idx="2">
                    <c:v>9.5316379409006197E-2</c:v>
                  </c:pt>
                  <c:pt idx="3">
                    <c:v>9.0284603834592289E-2</c:v>
                  </c:pt>
                  <c:pt idx="4">
                    <c:v>0.10236522859364972</c:v>
                  </c:pt>
                  <c:pt idx="5">
                    <c:v>0.11898953049116473</c:v>
                  </c:pt>
                  <c:pt idx="6">
                    <c:v>0.16478448356818765</c:v>
                  </c:pt>
                  <c:pt idx="7">
                    <c:v>0.12359224541415978</c:v>
                  </c:pt>
                  <c:pt idx="8">
                    <c:v>0.11824012967883975</c:v>
                  </c:pt>
                </c:numCache>
              </c:numRef>
            </c:minus>
          </c:errBars>
          <c:cat>
            <c:numRef>
              <c:f>'Poverty by Family Type'!$E$2:$M$2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'Poverty by Family Type'!$E$10:$M$10</c:f>
              <c:numCache>
                <c:formatCode>0%</c:formatCode>
                <c:ptCount val="9"/>
                <c:pt idx="0">
                  <c:v>0.24618458294022977</c:v>
                </c:pt>
                <c:pt idx="1">
                  <c:v>0.3488973121984838</c:v>
                </c:pt>
                <c:pt idx="2">
                  <c:v>0.24647774146890233</c:v>
                </c:pt>
                <c:pt idx="3">
                  <c:v>0.38316857106175378</c:v>
                </c:pt>
                <c:pt idx="4">
                  <c:v>0.32201376169496559</c:v>
                </c:pt>
                <c:pt idx="5">
                  <c:v>0.26165884194053207</c:v>
                </c:pt>
                <c:pt idx="6">
                  <c:v>0.30387886330636799</c:v>
                </c:pt>
                <c:pt idx="7">
                  <c:v>9.8165338791024043E-2</c:v>
                </c:pt>
                <c:pt idx="8">
                  <c:v>8.973478081627044E-2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A5-4A02-87A3-13B669CB0608}"/>
            </c:ext>
          </c:extLst>
        </c:ser>
        <c:ser>
          <c:idx val="2"/>
          <c:order val="2"/>
          <c:tx>
            <c:strRef>
              <c:f>'Poverty by Family Type'!$A$11</c:f>
              <c:strCache>
                <c:ptCount val="1"/>
                <c:pt idx="0">
                  <c:v>Female Householder, No Husband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'Poverty by Family Type'!$M$40:$U$40</c:f>
                <c:numCache>
                  <c:formatCode>General</c:formatCode>
                  <c:ptCount val="9"/>
                  <c:pt idx="0">
                    <c:v>6.9883861303531136E-2</c:v>
                  </c:pt>
                  <c:pt idx="1">
                    <c:v>6.4691032212997365E-2</c:v>
                  </c:pt>
                  <c:pt idx="2">
                    <c:v>6.0530557298013321E-2</c:v>
                  </c:pt>
                  <c:pt idx="3">
                    <c:v>5.7235504811860849E-2</c:v>
                  </c:pt>
                  <c:pt idx="4">
                    <c:v>6.1095424044143587E-2</c:v>
                  </c:pt>
                  <c:pt idx="5">
                    <c:v>6.2247763990094199E-2</c:v>
                  </c:pt>
                  <c:pt idx="6">
                    <c:v>6.0369990428489402E-2</c:v>
                  </c:pt>
                  <c:pt idx="7">
                    <c:v>6.3798313540372645E-2</c:v>
                  </c:pt>
                  <c:pt idx="8">
                    <c:v>6.0755636965545749E-2</c:v>
                  </c:pt>
                </c:numCache>
              </c:numRef>
            </c:plus>
            <c:minus>
              <c:numRef>
                <c:f>'Poverty by Family Type'!$M$40:$U$40</c:f>
                <c:numCache>
                  <c:formatCode>General</c:formatCode>
                  <c:ptCount val="9"/>
                  <c:pt idx="0">
                    <c:v>6.9883861303531136E-2</c:v>
                  </c:pt>
                  <c:pt idx="1">
                    <c:v>6.4691032212997365E-2</c:v>
                  </c:pt>
                  <c:pt idx="2">
                    <c:v>6.0530557298013321E-2</c:v>
                  </c:pt>
                  <c:pt idx="3">
                    <c:v>5.7235504811860849E-2</c:v>
                  </c:pt>
                  <c:pt idx="4">
                    <c:v>6.1095424044143587E-2</c:v>
                  </c:pt>
                  <c:pt idx="5">
                    <c:v>6.2247763990094199E-2</c:v>
                  </c:pt>
                  <c:pt idx="6">
                    <c:v>6.0369990428489402E-2</c:v>
                  </c:pt>
                  <c:pt idx="7">
                    <c:v>6.3798313540372645E-2</c:v>
                  </c:pt>
                  <c:pt idx="8">
                    <c:v>6.0755636965545749E-2</c:v>
                  </c:pt>
                </c:numCache>
              </c:numRef>
            </c:minus>
          </c:errBars>
          <c:cat>
            <c:numRef>
              <c:f>'Poverty by Family Type'!$E$2:$M$2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'Poverty by Family Type'!$E$11:$M$11</c:f>
              <c:numCache>
                <c:formatCode>0%</c:formatCode>
                <c:ptCount val="9"/>
                <c:pt idx="0">
                  <c:v>0.37588852356348834</c:v>
                </c:pt>
                <c:pt idx="1">
                  <c:v>0.47877342647947874</c:v>
                </c:pt>
                <c:pt idx="2">
                  <c:v>0.52020352741054643</c:v>
                </c:pt>
                <c:pt idx="3">
                  <c:v>0.52059412198462029</c:v>
                </c:pt>
                <c:pt idx="4">
                  <c:v>0.56602552791012295</c:v>
                </c:pt>
                <c:pt idx="5">
                  <c:v>0.43289513910119232</c:v>
                </c:pt>
                <c:pt idx="6">
                  <c:v>0.5001249297270286</c:v>
                </c:pt>
                <c:pt idx="7">
                  <c:v>0.50660490650197287</c:v>
                </c:pt>
                <c:pt idx="8">
                  <c:v>0.41475106526126937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A5-4A02-87A3-13B669CB0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751208"/>
        <c:axId val="173751600"/>
      </c:barChart>
      <c:catAx>
        <c:axId val="17375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3751600"/>
        <c:crosses val="autoZero"/>
        <c:auto val="1"/>
        <c:lblAlgn val="ctr"/>
        <c:lblOffset val="100"/>
        <c:noMultiLvlLbl val="0"/>
      </c:catAx>
      <c:valAx>
        <c:axId val="1737516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3751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orbel" panose="020B05030202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Number of Related Children Living in Familes with Incomes Below the Poverty Level, by Household Type,</a:t>
            </a:r>
          </a:p>
          <a:p>
            <a:pPr>
              <a:defRPr b="0"/>
            </a:pPr>
            <a:r>
              <a:rPr lang="en-US" b="0"/>
              <a:t>Travis County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'Poverty by Family Type'!$A$3</c:f>
              <c:strCache>
                <c:ptCount val="1"/>
                <c:pt idx="0">
                  <c:v>Married-Couple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'Poverty by Family Type'!$M$28:$U$28</c:f>
                <c:numCache>
                  <c:formatCode>General</c:formatCode>
                  <c:ptCount val="9"/>
                  <c:pt idx="0">
                    <c:v>8160.0059436252859</c:v>
                  </c:pt>
                  <c:pt idx="1">
                    <c:v>6823.8980062717819</c:v>
                  </c:pt>
                  <c:pt idx="2">
                    <c:v>7699.5291414475469</c:v>
                  </c:pt>
                  <c:pt idx="3">
                    <c:v>7639.9482328089107</c:v>
                  </c:pt>
                  <c:pt idx="4">
                    <c:v>7531.0292789232999</c:v>
                  </c:pt>
                  <c:pt idx="5">
                    <c:v>7382.3658132064957</c:v>
                  </c:pt>
                  <c:pt idx="6">
                    <c:v>9447.9691997804475</c:v>
                  </c:pt>
                  <c:pt idx="7">
                    <c:v>8392.8384352375087</c:v>
                  </c:pt>
                  <c:pt idx="8">
                    <c:v>7921.6918647470757</c:v>
                  </c:pt>
                </c:numCache>
              </c:numRef>
            </c:plus>
            <c:minus>
              <c:numRef>
                <c:f>'Poverty by Family Type'!$M$28:$U$28</c:f>
                <c:numCache>
                  <c:formatCode>General</c:formatCode>
                  <c:ptCount val="9"/>
                  <c:pt idx="0">
                    <c:v>8160.0059436252859</c:v>
                  </c:pt>
                  <c:pt idx="1">
                    <c:v>6823.8980062717819</c:v>
                  </c:pt>
                  <c:pt idx="2">
                    <c:v>7699.5291414475469</c:v>
                  </c:pt>
                  <c:pt idx="3">
                    <c:v>7639.9482328089107</c:v>
                  </c:pt>
                  <c:pt idx="4">
                    <c:v>7531.0292789232999</c:v>
                  </c:pt>
                  <c:pt idx="5">
                    <c:v>7382.3658132064957</c:v>
                  </c:pt>
                  <c:pt idx="6">
                    <c:v>9447.9691997804475</c:v>
                  </c:pt>
                  <c:pt idx="7">
                    <c:v>8392.8384352375087</c:v>
                  </c:pt>
                  <c:pt idx="8">
                    <c:v>7921.6918647470757</c:v>
                  </c:pt>
                </c:numCache>
              </c:numRef>
            </c:minus>
          </c:errBars>
          <c:cat>
            <c:numRef>
              <c:f>'Poverty by Family Type'!$G$2:$P$2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'Poverty by Family Type'!$G$3:$P$3</c:f>
              <c:numCache>
                <c:formatCode>#,##0</c:formatCode>
                <c:ptCount val="10"/>
                <c:pt idx="0">
                  <c:v>21871</c:v>
                </c:pt>
                <c:pt idx="1">
                  <c:v>22537</c:v>
                </c:pt>
                <c:pt idx="2">
                  <c:v>22575</c:v>
                </c:pt>
                <c:pt idx="3">
                  <c:v>21806</c:v>
                </c:pt>
                <c:pt idx="4" formatCode="_(* #,##0_);_(* \(#,##0\);_(* &quot;-&quot;??_);_(@_)">
                  <c:v>24671</c:v>
                </c:pt>
                <c:pt idx="5" formatCode="_(* #,##0_);_(* \(#,##0\);_(* &quot;-&quot;??_);_(@_)">
                  <c:v>17445</c:v>
                </c:pt>
                <c:pt idx="6" formatCode="_(* #,##0_);_(* \(#,##0\);_(* &quot;-&quot;??_);_(@_)">
                  <c:v>12927</c:v>
                </c:pt>
                <c:pt idx="7" formatCode="_(* #,##0_);_(* \(#,##0\);_(* &quot;-&quot;??_);_(@_)">
                  <c:v>16721</c:v>
                </c:pt>
                <c:pt idx="8" formatCode="_(* #,##0_);_(* \(#,##0\);_(* &quot;-&quot;??_);_(@_)">
                  <c:v>17110</c:v>
                </c:pt>
                <c:pt idx="9" formatCode="_(* #,##0_);_(* \(#,##0\);_(* &quot;-&quot;??_);_(@_)">
                  <c:v>8320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18-47F8-927F-F345106B67C3}"/>
            </c:ext>
          </c:extLst>
        </c:ser>
        <c:ser>
          <c:idx val="1"/>
          <c:order val="1"/>
          <c:tx>
            <c:strRef>
              <c:f>'Poverty by Family Type'!$A$4</c:f>
              <c:strCache>
                <c:ptCount val="1"/>
                <c:pt idx="0">
                  <c:v>Male Householder, No Wife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'Poverty by Family Type'!$M$29:$U$29</c:f>
                <c:numCache>
                  <c:formatCode>General</c:formatCode>
                  <c:ptCount val="9"/>
                  <c:pt idx="0">
                    <c:v>3867.1863156563845</c:v>
                  </c:pt>
                  <c:pt idx="1">
                    <c:v>2626.7535095627072</c:v>
                  </c:pt>
                  <c:pt idx="2">
                    <c:v>3944.9493025893248</c:v>
                  </c:pt>
                  <c:pt idx="3">
                    <c:v>3157.4155570656203</c:v>
                  </c:pt>
                  <c:pt idx="4">
                    <c:v>3326.784182961077</c:v>
                  </c:pt>
                  <c:pt idx="5">
                    <c:v>3741.3875768222679</c:v>
                  </c:pt>
                  <c:pt idx="6">
                    <c:v>3767.0712762038365</c:v>
                  </c:pt>
                  <c:pt idx="7">
                    <c:v>4151.0780527472616</c:v>
                  </c:pt>
                  <c:pt idx="8">
                    <c:v>3720.5565443895621</c:v>
                  </c:pt>
                </c:numCache>
              </c:numRef>
            </c:plus>
            <c:minus>
              <c:numRef>
                <c:f>'Poverty by Family Type'!$M$29:$U$29</c:f>
                <c:numCache>
                  <c:formatCode>General</c:formatCode>
                  <c:ptCount val="9"/>
                  <c:pt idx="0">
                    <c:v>3867.1863156563845</c:v>
                  </c:pt>
                  <c:pt idx="1">
                    <c:v>2626.7535095627072</c:v>
                  </c:pt>
                  <c:pt idx="2">
                    <c:v>3944.9493025893248</c:v>
                  </c:pt>
                  <c:pt idx="3">
                    <c:v>3157.4155570656203</c:v>
                  </c:pt>
                  <c:pt idx="4">
                    <c:v>3326.784182961077</c:v>
                  </c:pt>
                  <c:pt idx="5">
                    <c:v>3741.3875768222679</c:v>
                  </c:pt>
                  <c:pt idx="6">
                    <c:v>3767.0712762038365</c:v>
                  </c:pt>
                  <c:pt idx="7">
                    <c:v>4151.0780527472616</c:v>
                  </c:pt>
                  <c:pt idx="8">
                    <c:v>3720.5565443895621</c:v>
                  </c:pt>
                </c:numCache>
              </c:numRef>
            </c:minus>
          </c:errBars>
          <c:cat>
            <c:numRef>
              <c:f>'Poverty by Family Type'!$G$2:$P$2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'Poverty by Family Type'!$G$4:$P$4</c:f>
              <c:numCache>
                <c:formatCode>#,##0</c:formatCode>
                <c:ptCount val="10"/>
                <c:pt idx="0">
                  <c:v>4601</c:v>
                </c:pt>
                <c:pt idx="1">
                  <c:v>5969</c:v>
                </c:pt>
                <c:pt idx="2">
                  <c:v>6505</c:v>
                </c:pt>
                <c:pt idx="3">
                  <c:v>4108</c:v>
                </c:pt>
                <c:pt idx="4" formatCode="_(* #,##0_);_(* \(#,##0\);_(* &quot;-&quot;??_);_(@_)">
                  <c:v>5860</c:v>
                </c:pt>
                <c:pt idx="5" formatCode="_(* #,##0_);_(* \(#,##0\);_(* &quot;-&quot;??_);_(@_)">
                  <c:v>1343</c:v>
                </c:pt>
                <c:pt idx="6" formatCode="_(* #,##0_);_(* \(#,##0\);_(* &quot;-&quot;??_);_(@_)">
                  <c:v>1306</c:v>
                </c:pt>
                <c:pt idx="7" formatCode="_(* #,##0_);_(* \(#,##0\);_(* &quot;-&quot;??_);_(@_)">
                  <c:v>1305</c:v>
                </c:pt>
                <c:pt idx="8" formatCode="_(* #,##0_);_(* \(#,##0\);_(* &quot;-&quot;??_);_(@_)">
                  <c:v>2127</c:v>
                </c:pt>
                <c:pt idx="9" formatCode="_(* #,##0_);_(* \(#,##0\);_(* &quot;-&quot;??_);_(@_)">
                  <c:v>5052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18-47F8-927F-F345106B67C3}"/>
            </c:ext>
          </c:extLst>
        </c:ser>
        <c:ser>
          <c:idx val="2"/>
          <c:order val="2"/>
          <c:tx>
            <c:strRef>
              <c:f>'Poverty by Family Type'!$A$5</c:f>
              <c:strCache>
                <c:ptCount val="1"/>
                <c:pt idx="0">
                  <c:v>Female Householder, No Husband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'Poverty by Family Type'!$M$30:$U$30</c:f>
                <c:numCache>
                  <c:formatCode>General</c:formatCode>
                  <c:ptCount val="9"/>
                  <c:pt idx="0">
                    <c:v>6016.2125128688731</c:v>
                  </c:pt>
                  <c:pt idx="1">
                    <c:v>6835.8780708845297</c:v>
                  </c:pt>
                  <c:pt idx="2">
                    <c:v>6466.10462334163</c:v>
                  </c:pt>
                  <c:pt idx="3">
                    <c:v>6885.0477122529801</c:v>
                  </c:pt>
                  <c:pt idx="4">
                    <c:v>6635.6160226462771</c:v>
                  </c:pt>
                  <c:pt idx="5">
                    <c:v>6290.4235946397121</c:v>
                  </c:pt>
                  <c:pt idx="6">
                    <c:v>7656.0398379318794</c:v>
                  </c:pt>
                  <c:pt idx="7">
                    <c:v>7695.8134722717914</c:v>
                  </c:pt>
                  <c:pt idx="8">
                    <c:v>7378.3934565730497</c:v>
                  </c:pt>
                </c:numCache>
              </c:numRef>
            </c:plus>
            <c:minus>
              <c:numRef>
                <c:f>'Poverty by Family Type'!$M$30:$U$30</c:f>
                <c:numCache>
                  <c:formatCode>General</c:formatCode>
                  <c:ptCount val="9"/>
                  <c:pt idx="0">
                    <c:v>6016.2125128688731</c:v>
                  </c:pt>
                  <c:pt idx="1">
                    <c:v>6835.8780708845297</c:v>
                  </c:pt>
                  <c:pt idx="2">
                    <c:v>6466.10462334163</c:v>
                  </c:pt>
                  <c:pt idx="3">
                    <c:v>6885.0477122529801</c:v>
                  </c:pt>
                  <c:pt idx="4">
                    <c:v>6635.6160226462771</c:v>
                  </c:pt>
                  <c:pt idx="5">
                    <c:v>6290.4235946397121</c:v>
                  </c:pt>
                  <c:pt idx="6">
                    <c:v>7656.0398379318794</c:v>
                  </c:pt>
                  <c:pt idx="7">
                    <c:v>7695.8134722717914</c:v>
                  </c:pt>
                  <c:pt idx="8">
                    <c:v>7378.3934565730497</c:v>
                  </c:pt>
                </c:numCache>
              </c:numRef>
            </c:minus>
          </c:errBars>
          <c:cat>
            <c:numRef>
              <c:f>'Poverty by Family Type'!$G$2:$P$2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'Poverty by Family Type'!$G$5:$P$5</c:f>
              <c:numCache>
                <c:formatCode>#,##0</c:formatCode>
                <c:ptCount val="10"/>
                <c:pt idx="0">
                  <c:v>34863</c:v>
                </c:pt>
                <c:pt idx="1">
                  <c:v>34594</c:v>
                </c:pt>
                <c:pt idx="2">
                  <c:v>38492</c:v>
                </c:pt>
                <c:pt idx="3">
                  <c:v>28320</c:v>
                </c:pt>
                <c:pt idx="4" formatCode="_(* #,##0_);_(* \(#,##0\);_(* &quot;-&quot;??_);_(@_)">
                  <c:v>32026</c:v>
                </c:pt>
                <c:pt idx="5" formatCode="_(* #,##0_);_(* \(#,##0\);_(* &quot;-&quot;??_);_(@_)">
                  <c:v>29530</c:v>
                </c:pt>
                <c:pt idx="6" formatCode="_(* #,##0_);_(* \(#,##0\);_(* &quot;-&quot;??_);_(@_)">
                  <c:v>29590</c:v>
                </c:pt>
                <c:pt idx="7" formatCode="_(* #,##0_);_(* \(#,##0\);_(* &quot;-&quot;??_);_(@_)">
                  <c:v>20867</c:v>
                </c:pt>
                <c:pt idx="8" formatCode="_(* #,##0_);_(* \(#,##0\);_(* &quot;-&quot;??_);_(@_)">
                  <c:v>22181</c:v>
                </c:pt>
                <c:pt idx="9" formatCode="_(* #,##0_);_(* \(#,##0\);_(* &quot;-&quot;??_);_(@_)">
                  <c:v>22741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18-47F8-927F-F345106B6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752384"/>
        <c:axId val="173752776"/>
      </c:barChart>
      <c:catAx>
        <c:axId val="17375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3752776"/>
        <c:crosses val="autoZero"/>
        <c:auto val="1"/>
        <c:lblAlgn val="ctr"/>
        <c:lblOffset val="100"/>
        <c:noMultiLvlLbl val="0"/>
      </c:catAx>
      <c:valAx>
        <c:axId val="1737527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73752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orbel" panose="020B05030202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Percent of Related Children Living in Familes with Incomes Below the Poverty Level, by Household Type, Travis County</a:t>
            </a:r>
            <a:endParaRPr lang="en-US" sz="1400">
              <a:effectLst/>
              <a:latin typeface="Tw Cen MT" panose="020B06020201040206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'Poverty by Family Type'!$A$9</c:f>
              <c:strCache>
                <c:ptCount val="1"/>
                <c:pt idx="0">
                  <c:v>Married-Couple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'Poverty by Family Type'!$G$2:$P$2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'Poverty by Family Type'!$G$9:$P$9</c:f>
              <c:numCache>
                <c:formatCode>0%</c:formatCode>
                <c:ptCount val="10"/>
                <c:pt idx="0">
                  <c:v>0.13902767712981681</c:v>
                </c:pt>
                <c:pt idx="1">
                  <c:v>0.13294439659749177</c:v>
                </c:pt>
                <c:pt idx="2">
                  <c:v>0.1343006549945566</c:v>
                </c:pt>
                <c:pt idx="3">
                  <c:v>0.12541193386053198</c:v>
                </c:pt>
                <c:pt idx="4">
                  <c:v>0.13908871549702329</c:v>
                </c:pt>
                <c:pt idx="5">
                  <c:v>9.0356765491951027E-2</c:v>
                </c:pt>
                <c:pt idx="6">
                  <c:v>7.1204309604071647E-2</c:v>
                </c:pt>
                <c:pt idx="7">
                  <c:v>8.6002314517166001E-2</c:v>
                </c:pt>
                <c:pt idx="8">
                  <c:v>9.2281969688797802E-2</c:v>
                </c:pt>
                <c:pt idx="9">
                  <c:v>4.3465086877932067E-2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FA-4B91-B8F1-B198EC550F7C}"/>
            </c:ext>
          </c:extLst>
        </c:ser>
        <c:ser>
          <c:idx val="1"/>
          <c:order val="1"/>
          <c:tx>
            <c:strRef>
              <c:f>'Poverty by Family Type'!$A$10</c:f>
              <c:strCache>
                <c:ptCount val="1"/>
                <c:pt idx="0">
                  <c:v>Male Householder, No Wife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'Poverty by Family Type'!$G$2:$P$2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'Poverty by Family Type'!$G$10:$P$10</c:f>
              <c:numCache>
                <c:formatCode>0%</c:formatCode>
                <c:ptCount val="10"/>
                <c:pt idx="0">
                  <c:v>0.24647774146890233</c:v>
                </c:pt>
                <c:pt idx="1">
                  <c:v>0.38316857106175378</c:v>
                </c:pt>
                <c:pt idx="2">
                  <c:v>0.32201376169496559</c:v>
                </c:pt>
                <c:pt idx="3">
                  <c:v>0.26165884194053207</c:v>
                </c:pt>
                <c:pt idx="4">
                  <c:v>0.30387886330636799</c:v>
                </c:pt>
                <c:pt idx="5">
                  <c:v>9.8165338791024043E-2</c:v>
                </c:pt>
                <c:pt idx="6">
                  <c:v>8.973478081627044E-2</c:v>
                </c:pt>
                <c:pt idx="7">
                  <c:v>7.5246497145822516E-2</c:v>
                </c:pt>
                <c:pt idx="8">
                  <c:v>8.7675185490519378E-2</c:v>
                </c:pt>
                <c:pt idx="9">
                  <c:v>0.23314412294060641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FA-4B91-B8F1-B198EC550F7C}"/>
            </c:ext>
          </c:extLst>
        </c:ser>
        <c:ser>
          <c:idx val="2"/>
          <c:order val="2"/>
          <c:tx>
            <c:strRef>
              <c:f>'Poverty by Family Type'!$A$11</c:f>
              <c:strCache>
                <c:ptCount val="1"/>
                <c:pt idx="0">
                  <c:v>Female Householder, No Husband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'Poverty by Family Type'!$G$2:$P$2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'Poverty by Family Type'!$G$11:$P$11</c:f>
              <c:numCache>
                <c:formatCode>0%</c:formatCode>
                <c:ptCount val="10"/>
                <c:pt idx="0">
                  <c:v>0.52020352741054643</c:v>
                </c:pt>
                <c:pt idx="1">
                  <c:v>0.52059412198462029</c:v>
                </c:pt>
                <c:pt idx="2">
                  <c:v>0.56602552791012295</c:v>
                </c:pt>
                <c:pt idx="3">
                  <c:v>0.43289513910119232</c:v>
                </c:pt>
                <c:pt idx="4">
                  <c:v>0.5001249297270286</c:v>
                </c:pt>
                <c:pt idx="5">
                  <c:v>0.50660490650197287</c:v>
                </c:pt>
                <c:pt idx="6">
                  <c:v>0.41475106526126937</c:v>
                </c:pt>
                <c:pt idx="7">
                  <c:v>0.37076455642223843</c:v>
                </c:pt>
                <c:pt idx="8">
                  <c:v>0.39502413136008263</c:v>
                </c:pt>
                <c:pt idx="9">
                  <c:v>0.43923590991617412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FA-4B91-B8F1-B198EC550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4857040"/>
        <c:axId val="634858320"/>
      </c:lineChart>
      <c:catAx>
        <c:axId val="63485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634858320"/>
        <c:crosses val="autoZero"/>
        <c:auto val="1"/>
        <c:lblAlgn val="ctr"/>
        <c:lblOffset val="100"/>
        <c:noMultiLvlLbl val="0"/>
      </c:catAx>
      <c:valAx>
        <c:axId val="63485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63485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Language!$C$2</c:f>
              <c:strCache>
                <c:ptCount val="1"/>
                <c:pt idx="0">
                  <c:v>Only English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cat>
            <c:numRef>
              <c:f>Language!$A$3:$A$11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Language!$C$3:$C$11</c:f>
              <c:numCache>
                <c:formatCode>0%</c:formatCode>
                <c:ptCount val="9"/>
                <c:pt idx="0">
                  <c:v>0.68183349721853581</c:v>
                </c:pt>
                <c:pt idx="1">
                  <c:v>0.67983795209018316</c:v>
                </c:pt>
                <c:pt idx="2">
                  <c:v>0.66415643474306507</c:v>
                </c:pt>
                <c:pt idx="3">
                  <c:v>0.67277315253919745</c:v>
                </c:pt>
                <c:pt idx="4">
                  <c:v>0.67525319643431458</c:v>
                </c:pt>
                <c:pt idx="5">
                  <c:v>0.65896574173455558</c:v>
                </c:pt>
                <c:pt idx="6">
                  <c:v>0.60836740396074607</c:v>
                </c:pt>
                <c:pt idx="7">
                  <c:v>0.66124270169851385</c:v>
                </c:pt>
                <c:pt idx="8">
                  <c:v>0.63875129027148947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01-4BF4-83B3-00602CF127D4}"/>
            </c:ext>
          </c:extLst>
        </c:ser>
        <c:ser>
          <c:idx val="1"/>
          <c:order val="1"/>
          <c:tx>
            <c:strRef>
              <c:f>Language!$D$2</c:f>
              <c:strCache>
                <c:ptCount val="1"/>
                <c:pt idx="0">
                  <c:v>Spanish</c:v>
                </c:pt>
              </c:strCache>
            </c:strRef>
          </c:tx>
          <c:marker>
            <c:symbol val="none"/>
          </c:marker>
          <c:trendline>
            <c:trendlineType val="linear"/>
            <c:dispRSqr val="1"/>
            <c:dispEq val="0"/>
            <c:trendlineLbl>
              <c:layout>
                <c:manualLayout>
                  <c:x val="0.11550517392222499"/>
                  <c:y val="-2.9184594603498801E-2"/>
                </c:manualLayout>
              </c:layout>
              <c:numFmt formatCode="General" sourceLinked="0"/>
            </c:trendlineLbl>
          </c:trendline>
          <c:cat>
            <c:numRef>
              <c:f>Language!$A$3:$A$11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Language!$D$3:$D$11</c:f>
              <c:numCache>
                <c:formatCode>0%</c:formatCode>
                <c:ptCount val="9"/>
                <c:pt idx="0">
                  <c:v>0.26755004228925855</c:v>
                </c:pt>
                <c:pt idx="1">
                  <c:v>0.27694274829079901</c:v>
                </c:pt>
                <c:pt idx="2">
                  <c:v>0.28013339396695469</c:v>
                </c:pt>
                <c:pt idx="3">
                  <c:v>0.27091603142820342</c:v>
                </c:pt>
                <c:pt idx="4">
                  <c:v>0.28342830095938543</c:v>
                </c:pt>
                <c:pt idx="5">
                  <c:v>0.29040639534542723</c:v>
                </c:pt>
                <c:pt idx="6">
                  <c:v>0.33891008205461565</c:v>
                </c:pt>
                <c:pt idx="7">
                  <c:v>0.29419895612172681</c:v>
                </c:pt>
                <c:pt idx="8">
                  <c:v>0.30941939148338893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01-4BF4-83B3-00602CF127D4}"/>
            </c:ext>
          </c:extLst>
        </c:ser>
        <c:ser>
          <c:idx val="2"/>
          <c:order val="2"/>
          <c:tx>
            <c:strRef>
              <c:f>Language!$E$2</c:f>
              <c:strCache>
                <c:ptCount val="1"/>
                <c:pt idx="0">
                  <c:v>Other Indo-European Languages</c:v>
                </c:pt>
              </c:strCache>
            </c:strRef>
          </c:tx>
          <c:marker>
            <c:symbol val="none"/>
          </c:marker>
          <c:cat>
            <c:numRef>
              <c:f>Language!$A$3:$A$11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Language!$E$3:$E$11</c:f>
              <c:numCache>
                <c:formatCode>0%</c:formatCode>
                <c:ptCount val="9"/>
                <c:pt idx="0">
                  <c:v>1.8930459955854139E-2</c:v>
                </c:pt>
                <c:pt idx="1">
                  <c:v>1.7026773132926255E-2</c:v>
                </c:pt>
                <c:pt idx="2">
                  <c:v>1.8111262695164467E-2</c:v>
                </c:pt>
                <c:pt idx="3">
                  <c:v>1.7189494268217E-2</c:v>
                </c:pt>
                <c:pt idx="4">
                  <c:v>1.5528572208771003E-2</c:v>
                </c:pt>
                <c:pt idx="5">
                  <c:v>1.442823711576021E-2</c:v>
                </c:pt>
                <c:pt idx="6">
                  <c:v>2.2078907002868204E-2</c:v>
                </c:pt>
                <c:pt idx="7">
                  <c:v>1.4723770346779901E-2</c:v>
                </c:pt>
                <c:pt idx="8">
                  <c:v>1.3222210692459354E-2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01-4BF4-83B3-00602CF127D4}"/>
            </c:ext>
          </c:extLst>
        </c:ser>
        <c:ser>
          <c:idx val="3"/>
          <c:order val="3"/>
          <c:tx>
            <c:strRef>
              <c:f>Language!$F$2</c:f>
              <c:strCache>
                <c:ptCount val="1"/>
                <c:pt idx="0">
                  <c:v>Asian &amp; Pacific Island Languages</c:v>
                </c:pt>
              </c:strCache>
            </c:strRef>
          </c:tx>
          <c:marker>
            <c:symbol val="none"/>
          </c:marker>
          <c:trendline>
            <c:trendlineType val="linear"/>
            <c:dispRSqr val="1"/>
            <c:dispEq val="0"/>
            <c:trendlineLbl>
              <c:layout>
                <c:manualLayout>
                  <c:x val="0.144165987872206"/>
                  <c:y val="1.8319111784667101E-2"/>
                </c:manualLayout>
              </c:layout>
              <c:numFmt formatCode="General" sourceLinked="0"/>
            </c:trendlineLbl>
          </c:trendline>
          <c:cat>
            <c:numRef>
              <c:f>Language!$A$3:$A$11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Language!$F$3:$F$11</c:f>
              <c:numCache>
                <c:formatCode>0%</c:formatCode>
                <c:ptCount val="9"/>
                <c:pt idx="0">
                  <c:v>2.7670240051709791E-2</c:v>
                </c:pt>
                <c:pt idx="1">
                  <c:v>2.0562601116851938E-2</c:v>
                </c:pt>
                <c:pt idx="2">
                  <c:v>3.0607852053963922E-2</c:v>
                </c:pt>
                <c:pt idx="3">
                  <c:v>2.82490837343825E-2</c:v>
                </c:pt>
                <c:pt idx="4">
                  <c:v>2.1833451663602215E-2</c:v>
                </c:pt>
                <c:pt idx="5">
                  <c:v>3.4041255373931809E-2</c:v>
                </c:pt>
                <c:pt idx="6">
                  <c:v>2.5688397739649087E-2</c:v>
                </c:pt>
                <c:pt idx="7">
                  <c:v>2.466494161358811E-2</c:v>
                </c:pt>
                <c:pt idx="8">
                  <c:v>3.1212281746140109E-2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801-4BF4-83B3-00602CF127D4}"/>
            </c:ext>
          </c:extLst>
        </c:ser>
        <c:ser>
          <c:idx val="4"/>
          <c:order val="4"/>
          <c:tx>
            <c:strRef>
              <c:f>Language!$G$2</c:f>
              <c:strCache>
                <c:ptCount val="1"/>
                <c:pt idx="0">
                  <c:v>Other Languages</c:v>
                </c:pt>
              </c:strCache>
            </c:strRef>
          </c:tx>
          <c:marker>
            <c:symbol val="none"/>
          </c:marker>
          <c:cat>
            <c:numRef>
              <c:f>Language!$A$3:$A$11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Language!$G$3:$G$11</c:f>
              <c:numCache>
                <c:formatCode>0%</c:formatCode>
                <c:ptCount val="9"/>
                <c:pt idx="0">
                  <c:v>4.0157604846417791E-3</c:v>
                </c:pt>
                <c:pt idx="1">
                  <c:v>5.6299253692396016E-3</c:v>
                </c:pt>
                <c:pt idx="2">
                  <c:v>6.9910565408519022E-3</c:v>
                </c:pt>
                <c:pt idx="3">
                  <c:v>1.0872238029999648E-2</c:v>
                </c:pt>
                <c:pt idx="4">
                  <c:v>3.956478733926805E-3</c:v>
                </c:pt>
                <c:pt idx="5">
                  <c:v>2.1583704303251047E-3</c:v>
                </c:pt>
                <c:pt idx="6">
                  <c:v>4.9552092421209894E-3</c:v>
                </c:pt>
                <c:pt idx="7">
                  <c:v>5.2802105449398446E-3</c:v>
                </c:pt>
                <c:pt idx="8">
                  <c:v>7.3948258065220833E-3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801-4BF4-83B3-00602CF12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067152"/>
        <c:axId val="174067544"/>
      </c:lineChart>
      <c:catAx>
        <c:axId val="17406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4067544"/>
        <c:crosses val="autoZero"/>
        <c:auto val="1"/>
        <c:lblAlgn val="ctr"/>
        <c:lblOffset val="100"/>
        <c:noMultiLvlLbl val="0"/>
      </c:catAx>
      <c:valAx>
        <c:axId val="174067544"/>
        <c:scaling>
          <c:orientation val="minMax"/>
          <c:max val="0.35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4067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Language Spoken at Home,</a:t>
            </a:r>
          </a:p>
          <a:p>
            <a:pPr>
              <a:defRPr sz="1400" b="0"/>
            </a:pPr>
            <a:r>
              <a:rPr lang="en-US" sz="1400" b="0"/>
              <a:t>Children 5-17 Years Old,</a:t>
            </a:r>
          </a:p>
          <a:p>
            <a:pPr>
              <a:defRPr sz="1400" b="0"/>
            </a:pPr>
            <a:r>
              <a:rPr lang="en-US" sz="1400" b="0"/>
              <a:t>Travis County, 2019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Language!$C$2:$G$2</c:f>
              <c:strCache>
                <c:ptCount val="5"/>
                <c:pt idx="0">
                  <c:v>Only English</c:v>
                </c:pt>
                <c:pt idx="1">
                  <c:v>Spanish</c:v>
                </c:pt>
                <c:pt idx="2">
                  <c:v>Other Indo-European Languages</c:v>
                </c:pt>
                <c:pt idx="3">
                  <c:v>Asian &amp; Pacific Island Languages</c:v>
                </c:pt>
                <c:pt idx="4">
                  <c:v>Other Languages</c:v>
                </c:pt>
              </c:strCache>
            </c:strRef>
          </c:cat>
          <c:val>
            <c:numRef>
              <c:f>Language!$C$17:$G$17</c:f>
              <c:numCache>
                <c:formatCode>0%</c:formatCode>
                <c:ptCount val="5"/>
                <c:pt idx="0">
                  <c:v>0.66167632122501596</c:v>
                </c:pt>
                <c:pt idx="1">
                  <c:v>0.27732136478700442</c:v>
                </c:pt>
                <c:pt idx="2">
                  <c:v>2.8642719220595012E-2</c:v>
                </c:pt>
                <c:pt idx="3">
                  <c:v>3.0407976269975618E-2</c:v>
                </c:pt>
                <c:pt idx="4">
                  <c:v>1.9516184974090582E-3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3-4474-8AEC-1AA34E446A6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w Cen MT" panose="020B0602020104020603" pitchFamily="34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Households</a:t>
            </a:r>
            <a:r>
              <a:rPr lang="en-US" baseline="0"/>
              <a:t> w/own Children under 18</a:t>
            </a:r>
          </a:p>
          <a:p>
            <a:pPr>
              <a:defRPr/>
            </a:pPr>
            <a:r>
              <a:rPr lang="en-US" baseline="0"/>
              <a:t>in Travis County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'Households over Time'!$A$4</c:f>
              <c:strCache>
                <c:ptCount val="1"/>
                <c:pt idx="0">
                  <c:v>Married-couple family w/children under 18</c:v>
                </c:pt>
              </c:strCache>
            </c:strRef>
          </c:tx>
          <c:invertIfNegative val="0"/>
          <c:cat>
            <c:strRef>
              <c:f>'Households over Time'!$G$2:$O$2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'Households over Time'!$G$4:$O$4</c:f>
              <c:numCache>
                <c:formatCode>0.0%</c:formatCode>
                <c:ptCount val="9"/>
                <c:pt idx="0">
                  <c:v>0.19500000000000001</c:v>
                </c:pt>
                <c:pt idx="1">
                  <c:v>0.188</c:v>
                </c:pt>
                <c:pt idx="2">
                  <c:v>0.193031297142151</c:v>
                </c:pt>
                <c:pt idx="3">
                  <c:v>0.18741126036010289</c:v>
                </c:pt>
                <c:pt idx="4">
                  <c:v>0.20581527169748759</c:v>
                </c:pt>
                <c:pt idx="5">
                  <c:v>0.18809986675695156</c:v>
                </c:pt>
                <c:pt idx="6">
                  <c:v>0.20332359196942709</c:v>
                </c:pt>
                <c:pt idx="7">
                  <c:v>0.20549668275278082</c:v>
                </c:pt>
                <c:pt idx="8">
                  <c:v>0.20022412560487327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36-4CDF-9811-0E6D5A8C5B93}"/>
            </c:ext>
          </c:extLst>
        </c:ser>
        <c:ser>
          <c:idx val="1"/>
          <c:order val="1"/>
          <c:tx>
            <c:strRef>
              <c:f>'Households over Time'!$A$5</c:f>
              <c:strCache>
                <c:ptCount val="1"/>
                <c:pt idx="0">
                  <c:v>Single Male w/children under 18</c:v>
                </c:pt>
              </c:strCache>
            </c:strRef>
          </c:tx>
          <c:invertIfNegative val="0"/>
          <c:cat>
            <c:strRef>
              <c:f>'Households over Time'!$G$2:$O$2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'Households over Time'!$G$5:$O$5</c:f>
              <c:numCache>
                <c:formatCode>0.0%</c:formatCode>
                <c:ptCount val="9"/>
                <c:pt idx="0">
                  <c:v>1.7999999999999999E-2</c:v>
                </c:pt>
                <c:pt idx="1">
                  <c:v>2.5000000000000001E-2</c:v>
                </c:pt>
                <c:pt idx="2">
                  <c:v>1.7806472070862157E-2</c:v>
                </c:pt>
                <c:pt idx="3">
                  <c:v>1.9763360960274364E-2</c:v>
                </c:pt>
                <c:pt idx="4">
                  <c:v>1.7889869203435931E-2</c:v>
                </c:pt>
                <c:pt idx="5">
                  <c:v>1.5873397260872415E-2</c:v>
                </c:pt>
                <c:pt idx="6">
                  <c:v>1.7811132822632244E-2</c:v>
                </c:pt>
                <c:pt idx="7">
                  <c:v>2.397296875128456E-2</c:v>
                </c:pt>
                <c:pt idx="8">
                  <c:v>2.0618373966767176E-2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36-4CDF-9811-0E6D5A8C5B93}"/>
            </c:ext>
          </c:extLst>
        </c:ser>
        <c:ser>
          <c:idx val="2"/>
          <c:order val="2"/>
          <c:tx>
            <c:strRef>
              <c:f>'Households over Time'!$A$6</c:f>
              <c:strCache>
                <c:ptCount val="1"/>
                <c:pt idx="0">
                  <c:v>Single Female w/children under 18</c:v>
                </c:pt>
              </c:strCache>
            </c:strRef>
          </c:tx>
          <c:invertIfNegative val="0"/>
          <c:cat>
            <c:strRef>
              <c:f>'Households over Time'!$G$2:$O$2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'Households over Time'!$G$6:$O$6</c:f>
              <c:numCache>
                <c:formatCode>0.0%</c:formatCode>
                <c:ptCount val="9"/>
                <c:pt idx="0">
                  <c:v>6.6000000000000003E-2</c:v>
                </c:pt>
                <c:pt idx="1">
                  <c:v>6.7000000000000004E-2</c:v>
                </c:pt>
                <c:pt idx="2">
                  <c:v>6.9162417315435931E-2</c:v>
                </c:pt>
                <c:pt idx="3">
                  <c:v>0.10662474992855102</c:v>
                </c:pt>
                <c:pt idx="4">
                  <c:v>5.6429822871251194E-2</c:v>
                </c:pt>
                <c:pt idx="5">
                  <c:v>6.2416723094733624E-2</c:v>
                </c:pt>
                <c:pt idx="6">
                  <c:v>5.0480727662591436E-2</c:v>
                </c:pt>
                <c:pt idx="7">
                  <c:v>5.4383123556154787E-2</c:v>
                </c:pt>
                <c:pt idx="8">
                  <c:v>4.8448944462935573E-2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36-4CDF-9811-0E6D5A8C5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4068720"/>
        <c:axId val="174069112"/>
      </c:barChart>
      <c:catAx>
        <c:axId val="174068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4069112"/>
        <c:crosses val="autoZero"/>
        <c:auto val="1"/>
        <c:lblAlgn val="ctr"/>
        <c:lblOffset val="100"/>
        <c:noMultiLvlLbl val="0"/>
      </c:catAx>
      <c:valAx>
        <c:axId val="174069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of Households</a:t>
                </a:r>
                <a:r>
                  <a:rPr lang="en-US" baseline="0"/>
                  <a:t> in Travis County</a:t>
                </a:r>
                <a:endParaRPr lang="en-US"/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740687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Children Living in Families with Incomes Below Federal</a:t>
            </a:r>
            <a:r>
              <a:rPr lang="en-US" b="0" baseline="0"/>
              <a:t> Poverty Thresholds,</a:t>
            </a:r>
            <a:endParaRPr lang="en-US" b="0"/>
          </a:p>
          <a:p>
            <a:pPr>
              <a:defRPr b="0"/>
            </a:pPr>
            <a:r>
              <a:rPr lang="en-US" b="0"/>
              <a:t>Travis County by Race/Ethnicity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'Travis County below Poverty Rac'!$B$2</c:f>
              <c:strCache>
                <c:ptCount val="1"/>
                <c:pt idx="0">
                  <c:v>Black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'Travis County below Poverty Rac'!$A$3:$A$9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'Travis County below Poverty Rac'!$B$3:$B$9</c:f>
              <c:numCache>
                <c:formatCode>0.0%</c:formatCode>
                <c:ptCount val="7"/>
                <c:pt idx="0">
                  <c:v>0.34100000000000003</c:v>
                </c:pt>
                <c:pt idx="1">
                  <c:v>0.42699999999999999</c:v>
                </c:pt>
                <c:pt idx="2">
                  <c:v>0.29899999999999999</c:v>
                </c:pt>
                <c:pt idx="3">
                  <c:v>0.38800000000000001</c:v>
                </c:pt>
                <c:pt idx="4">
                  <c:v>0.35599999999999998</c:v>
                </c:pt>
                <c:pt idx="5">
                  <c:v>0.44800000000000001</c:v>
                </c:pt>
                <c:pt idx="6">
                  <c:v>0.27800000000000002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7B-4E17-BE5A-456BC491AD59}"/>
            </c:ext>
          </c:extLst>
        </c:ser>
        <c:ser>
          <c:idx val="2"/>
          <c:order val="1"/>
          <c:tx>
            <c:strRef>
              <c:f>'Travis County below Poverty Rac'!$C$2</c:f>
              <c:strCache>
                <c:ptCount val="1"/>
                <c:pt idx="0">
                  <c:v>Hispanic or Latino</c:v>
                </c:pt>
              </c:strCache>
            </c:strRef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'Travis County below Poverty Rac'!$A$3:$A$9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'Travis County below Poverty Rac'!$C$3:$C$9</c:f>
              <c:numCache>
                <c:formatCode>0.0%</c:formatCode>
                <c:ptCount val="7"/>
                <c:pt idx="0">
                  <c:v>0.29799999999999999</c:v>
                </c:pt>
                <c:pt idx="1">
                  <c:v>0.27600000000000002</c:v>
                </c:pt>
                <c:pt idx="2">
                  <c:v>0.39100000000000001</c:v>
                </c:pt>
                <c:pt idx="3">
                  <c:v>0.4</c:v>
                </c:pt>
                <c:pt idx="4">
                  <c:v>0.41</c:v>
                </c:pt>
                <c:pt idx="5">
                  <c:v>0.40100000000000002</c:v>
                </c:pt>
                <c:pt idx="6">
                  <c:v>0.34699999999999998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7B-4E17-BE5A-456BC491AD59}"/>
            </c:ext>
          </c:extLst>
        </c:ser>
        <c:ser>
          <c:idx val="3"/>
          <c:order val="2"/>
          <c:tx>
            <c:strRef>
              <c:f>'Travis County below Poverty Rac'!$D$2</c:f>
              <c:strCache>
                <c:ptCount val="1"/>
                <c:pt idx="0">
                  <c:v>White</c:v>
                </c:pt>
              </c:strCache>
            </c:strRef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'Travis County below Poverty Rac'!$A$3:$A$9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'Travis County below Poverty Rac'!$D$3:$D$9</c:f>
              <c:numCache>
                <c:formatCode>0.0%</c:formatCode>
                <c:ptCount val="7"/>
                <c:pt idx="0">
                  <c:v>5.0999999999999997E-2</c:v>
                </c:pt>
                <c:pt idx="1">
                  <c:v>5.5E-2</c:v>
                </c:pt>
                <c:pt idx="2">
                  <c:v>5.5E-2</c:v>
                </c:pt>
                <c:pt idx="3">
                  <c:v>5.2999999999999999E-2</c:v>
                </c:pt>
                <c:pt idx="4">
                  <c:v>4.8000000000000001E-2</c:v>
                </c:pt>
                <c:pt idx="5">
                  <c:v>7.8E-2</c:v>
                </c:pt>
                <c:pt idx="6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7B-4E17-BE5A-456BC491AD59}"/>
            </c:ext>
          </c:extLst>
        </c:ser>
        <c:ser>
          <c:idx val="4"/>
          <c:order val="3"/>
          <c:tx>
            <c:strRef>
              <c:f>'Travis County below Poverty Rac'!$E$2</c:f>
              <c:strCache>
                <c:ptCount val="1"/>
                <c:pt idx="0">
                  <c:v>Asian</c:v>
                </c:pt>
              </c:strCache>
            </c:strRef>
          </c:tx>
          <c:spPr>
            <a:ln w="28575">
              <a:solidFill>
                <a:schemeClr val="accent6"/>
              </a:solidFill>
            </a:ln>
          </c:spPr>
          <c:marker>
            <c:symbol val="square"/>
            <c:size val="9"/>
            <c:spPr>
              <a:solidFill>
                <a:schemeClr val="accent6"/>
              </a:solidFill>
              <a:ln>
                <a:noFill/>
              </a:ln>
            </c:spPr>
          </c:marker>
          <c:cat>
            <c:numRef>
              <c:f>'Travis County below Poverty Rac'!$A$3:$A$9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'Travis County below Poverty Rac'!$E$3:$E$9</c:f>
              <c:numCache>
                <c:formatCode>0.0%</c:formatCode>
                <c:ptCount val="7"/>
                <c:pt idx="6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7B-4E17-BE5A-456BC491A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069896"/>
        <c:axId val="174070288"/>
      </c:lineChart>
      <c:catAx>
        <c:axId val="174069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4070288"/>
        <c:crosses val="autoZero"/>
        <c:auto val="1"/>
        <c:lblAlgn val="ctr"/>
        <c:lblOffset val="100"/>
        <c:noMultiLvlLbl val="0"/>
      </c:catAx>
      <c:valAx>
        <c:axId val="17407028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740698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Corbel" panose="020B0503020204020204" pitchFamily="34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Travis County Children &amp; Youth</a:t>
            </a:r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2"/>
          <c:order val="0"/>
          <c:tx>
            <c:strRef>
              <c:f>'Travis County Pop # &amp; %'!$A$14</c:f>
              <c:strCache>
                <c:ptCount val="1"/>
                <c:pt idx="0">
                  <c:v>  Under 5 years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'Travis County Pop # &amp; %'!$E$13:$O$13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'Travis County Pop # &amp; %'!$E$14:$O$14</c:f>
              <c:numCache>
                <c:formatCode>0.0%</c:formatCode>
                <c:ptCount val="11"/>
                <c:pt idx="0">
                  <c:v>0.08</c:v>
                </c:pt>
                <c:pt idx="1">
                  <c:v>7.3999999999999996E-2</c:v>
                </c:pt>
                <c:pt idx="2">
                  <c:v>7.3999999999999996E-2</c:v>
                </c:pt>
                <c:pt idx="3">
                  <c:v>7.1999999999999995E-2</c:v>
                </c:pt>
                <c:pt idx="4">
                  <c:v>7.0000000000000007E-2</c:v>
                </c:pt>
                <c:pt idx="5" formatCode="0.00%">
                  <c:v>6.9000000000000006E-2</c:v>
                </c:pt>
                <c:pt idx="6" formatCode="0.00%">
                  <c:v>6.8000000000000005E-2</c:v>
                </c:pt>
                <c:pt idx="7" formatCode="0.00%">
                  <c:v>6.6000000000000003E-2</c:v>
                </c:pt>
                <c:pt idx="8" formatCode="0.00%">
                  <c:v>6.4000000000000001E-2</c:v>
                </c:pt>
                <c:pt idx="9" formatCode="0.00%">
                  <c:v>6.2779130693825708E-2</c:v>
                </c:pt>
                <c:pt idx="10" formatCode="0.00%">
                  <c:v>6.1477021292611851E-2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6F-415D-A2A2-5EECD54D4E50}"/>
            </c:ext>
          </c:extLst>
        </c:ser>
        <c:ser>
          <c:idx val="3"/>
          <c:order val="1"/>
          <c:tx>
            <c:strRef>
              <c:f>'Travis County Pop # &amp; %'!$A$15</c:f>
              <c:strCache>
                <c:ptCount val="1"/>
                <c:pt idx="0">
                  <c:v>  5 to 9 years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'Travis County Pop # &amp; %'!$E$13:$O$13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'Travis County Pop # &amp; %'!$E$15:$O$15</c:f>
              <c:numCache>
                <c:formatCode>0.0%</c:formatCode>
                <c:ptCount val="11"/>
                <c:pt idx="0">
                  <c:v>6.7000000000000004E-2</c:v>
                </c:pt>
                <c:pt idx="1">
                  <c:v>7.0999999999999994E-2</c:v>
                </c:pt>
                <c:pt idx="2">
                  <c:v>6.9000000000000006E-2</c:v>
                </c:pt>
                <c:pt idx="3">
                  <c:v>7.2999999999999995E-2</c:v>
                </c:pt>
                <c:pt idx="4">
                  <c:v>6.5000000000000002E-2</c:v>
                </c:pt>
                <c:pt idx="5" formatCode="0.00%">
                  <c:v>6.9000000000000006E-2</c:v>
                </c:pt>
                <c:pt idx="6" formatCode="0.00%">
                  <c:v>6.6000000000000003E-2</c:v>
                </c:pt>
                <c:pt idx="7" formatCode="0.00%">
                  <c:v>6.3E-2</c:v>
                </c:pt>
                <c:pt idx="8" formatCode="0.00%">
                  <c:v>0.06</c:v>
                </c:pt>
                <c:pt idx="9" formatCode="0.00%">
                  <c:v>5.8592520638754329E-2</c:v>
                </c:pt>
                <c:pt idx="10" formatCode="0.00%">
                  <c:v>5.7443365047892159E-2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6F-415D-A2A2-5EECD54D4E50}"/>
            </c:ext>
          </c:extLst>
        </c:ser>
        <c:ser>
          <c:idx val="4"/>
          <c:order val="2"/>
          <c:tx>
            <c:strRef>
              <c:f>'Travis County Pop # &amp; %'!$A$16</c:f>
              <c:strCache>
                <c:ptCount val="1"/>
                <c:pt idx="0">
                  <c:v>  10 to 14 years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'Travis County Pop # &amp; %'!$E$13:$O$13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'Travis County Pop # &amp; %'!$E$16:$O$16</c:f>
              <c:numCache>
                <c:formatCode>0.0%</c:formatCode>
                <c:ptCount val="11"/>
                <c:pt idx="0">
                  <c:v>0.06</c:v>
                </c:pt>
                <c:pt idx="1">
                  <c:v>0.06</c:v>
                </c:pt>
                <c:pt idx="2">
                  <c:v>6.0999999999999999E-2</c:v>
                </c:pt>
                <c:pt idx="3">
                  <c:v>5.8000000000000003E-2</c:v>
                </c:pt>
                <c:pt idx="4">
                  <c:v>6.4000000000000001E-2</c:v>
                </c:pt>
                <c:pt idx="5" formatCode="0.00%">
                  <c:v>5.8999999999999997E-2</c:v>
                </c:pt>
                <c:pt idx="6" formatCode="0.00%">
                  <c:v>0.06</c:v>
                </c:pt>
                <c:pt idx="7" formatCode="0.00%">
                  <c:v>6.2E-2</c:v>
                </c:pt>
                <c:pt idx="8" formatCode="0.00%">
                  <c:v>6.2E-2</c:v>
                </c:pt>
                <c:pt idx="9" formatCode="0.00%">
                  <c:v>6.1091833948218328E-2</c:v>
                </c:pt>
                <c:pt idx="10" formatCode="0.00%">
                  <c:v>6.2672623590282389E-2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6F-415D-A2A2-5EECD54D4E50}"/>
            </c:ext>
          </c:extLst>
        </c:ser>
        <c:ser>
          <c:idx val="5"/>
          <c:order val="3"/>
          <c:tx>
            <c:strRef>
              <c:f>'Travis County Pop # &amp; %'!$A$17</c:f>
              <c:strCache>
                <c:ptCount val="1"/>
                <c:pt idx="0">
                  <c:v>  15 to 19 years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'Travis County Pop # &amp; %'!$E$13:$O$13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'Travis County Pop # &amp; %'!$E$17:$O$17</c:f>
              <c:numCache>
                <c:formatCode>0.0%</c:formatCode>
                <c:ptCount val="11"/>
                <c:pt idx="0">
                  <c:v>5.8999999999999997E-2</c:v>
                </c:pt>
                <c:pt idx="1">
                  <c:v>6.5000000000000002E-2</c:v>
                </c:pt>
                <c:pt idx="2">
                  <c:v>6.2E-2</c:v>
                </c:pt>
                <c:pt idx="3">
                  <c:v>6.2E-2</c:v>
                </c:pt>
                <c:pt idx="4">
                  <c:v>6.0999999999999999E-2</c:v>
                </c:pt>
                <c:pt idx="5" formatCode="0.00%">
                  <c:v>0.06</c:v>
                </c:pt>
                <c:pt idx="6" formatCode="0.00%">
                  <c:v>6.0999999999999999E-2</c:v>
                </c:pt>
                <c:pt idx="7" formatCode="0.00%">
                  <c:v>0.06</c:v>
                </c:pt>
                <c:pt idx="8" formatCode="0.00%">
                  <c:v>0.06</c:v>
                </c:pt>
                <c:pt idx="9" formatCode="0.00%">
                  <c:v>5.9591124835134214E-2</c:v>
                </c:pt>
                <c:pt idx="10" formatCode="0.00%">
                  <c:v>6.1691637110278093E-2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6F-415D-A2A2-5EECD54D4E50}"/>
            </c:ext>
          </c:extLst>
        </c:ser>
        <c:ser>
          <c:idx val="6"/>
          <c:order val="4"/>
          <c:tx>
            <c:strRef>
              <c:f>'Travis County Pop # &amp; %'!$A$18</c:f>
              <c:strCache>
                <c:ptCount val="1"/>
                <c:pt idx="0">
                  <c:v>  20 to 24 years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'Travis County Pop # &amp; %'!$E$13:$O$13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'Travis County Pop # &amp; %'!$E$18:$O$18</c:f>
              <c:numCache>
                <c:formatCode>0.0%</c:formatCode>
                <c:ptCount val="11"/>
                <c:pt idx="0">
                  <c:v>7.3999999999999996E-2</c:v>
                </c:pt>
                <c:pt idx="1">
                  <c:v>9.6000000000000002E-2</c:v>
                </c:pt>
                <c:pt idx="2">
                  <c:v>9.1999999999999998E-2</c:v>
                </c:pt>
                <c:pt idx="3">
                  <c:v>8.5999999999999993E-2</c:v>
                </c:pt>
                <c:pt idx="4">
                  <c:v>7.8E-2</c:v>
                </c:pt>
                <c:pt idx="5" formatCode="0.00%">
                  <c:v>7.3999999999999996E-2</c:v>
                </c:pt>
                <c:pt idx="6" formatCode="0.00%">
                  <c:v>7.0000000000000007E-2</c:v>
                </c:pt>
                <c:pt idx="7" formatCode="0.00%">
                  <c:v>6.9000000000000006E-2</c:v>
                </c:pt>
                <c:pt idx="8" formatCode="0.00%">
                  <c:v>6.7000000000000004E-2</c:v>
                </c:pt>
                <c:pt idx="9" formatCode="0.00%">
                  <c:v>6.6276247394379789E-2</c:v>
                </c:pt>
                <c:pt idx="10" formatCode="0.00%">
                  <c:v>6.5284850445608097E-2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6F-415D-A2A2-5EECD54D4E50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axId val="171952296"/>
        <c:axId val="171952688"/>
      </c:areaChart>
      <c:catAx>
        <c:axId val="171952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71952688"/>
        <c:crosses val="autoZero"/>
        <c:auto val="1"/>
        <c:lblAlgn val="ctr"/>
        <c:lblOffset val="100"/>
        <c:noMultiLvlLbl val="0"/>
      </c:catAx>
      <c:valAx>
        <c:axId val="17195268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71952296"/>
        <c:crosses val="autoZero"/>
        <c:crossBetween val="midCat"/>
      </c:valAx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Tw Cen MT" panose="020B0602020104020603" pitchFamily="34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solidFill>
                  <a:sysClr val="windowText" lastClr="000000"/>
                </a:solidFill>
                <a:latin typeface="Tw Cen MT" panose="020B0602020104020603" pitchFamily="34" charset="0"/>
              </a:rPr>
              <a:t>Race &amp; Ethnicity by Age,</a:t>
            </a:r>
            <a: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 </a:t>
            </a:r>
            <a:b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</a:br>
            <a: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Travis County, 2019</a:t>
            </a:r>
            <a:endParaRPr lang="en-US" sz="1400">
              <a:solidFill>
                <a:sysClr val="windowText" lastClr="000000"/>
              </a:solidFill>
              <a:latin typeface="Tw Cen MT" panose="020B0602020104020603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'Race-Ethnicity Travis 2018'!$G$20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'Race-Ethnicity Travis 2018'!$H$16:$J$16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2018'!$H$20:$J$20</c:f>
              <c:numCache>
                <c:formatCode>0%</c:formatCode>
                <c:ptCount val="3"/>
                <c:pt idx="0">
                  <c:v>4.5472731179290363E-2</c:v>
                </c:pt>
                <c:pt idx="1">
                  <c:v>2.141728430069954E-2</c:v>
                </c:pt>
                <c:pt idx="2">
                  <c:v>1.0985954665554165E-2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C3-4ADB-A413-B54C0DCD5CE2}"/>
            </c:ext>
          </c:extLst>
        </c:ser>
        <c:ser>
          <c:idx val="0"/>
          <c:order val="1"/>
          <c:tx>
            <c:strRef>
              <c:f>'Race-Ethnicity Travis 2018'!$G$17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'Race-Ethnicity Travis 2018'!$H$16:$J$16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2018'!$H$17:$J$17</c:f>
              <c:numCache>
                <c:formatCode>0%</c:formatCode>
                <c:ptCount val="3"/>
                <c:pt idx="0">
                  <c:v>5.514517933482007E-2</c:v>
                </c:pt>
                <c:pt idx="1">
                  <c:v>7.531095138890477E-2</c:v>
                </c:pt>
                <c:pt idx="2">
                  <c:v>5.0719263276626646E-2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C3-4ADB-A413-B54C0DCD5CE2}"/>
            </c:ext>
          </c:extLst>
        </c:ser>
        <c:ser>
          <c:idx val="1"/>
          <c:order val="2"/>
          <c:tx>
            <c:strRef>
              <c:f>'Race-Ethnicity Travis 2018'!$G$18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'Race-Ethnicity Travis 2018'!$H$16:$J$16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2018'!$H$18:$J$18</c:f>
              <c:numCache>
                <c:formatCode>0%</c:formatCode>
                <c:ptCount val="3"/>
                <c:pt idx="0">
                  <c:v>7.6649798845677963E-2</c:v>
                </c:pt>
                <c:pt idx="1">
                  <c:v>8.4110664163352666E-2</c:v>
                </c:pt>
                <c:pt idx="2">
                  <c:v>7.5789180920595195E-2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C3-4ADB-A413-B54C0DCD5CE2}"/>
            </c:ext>
          </c:extLst>
        </c:ser>
        <c:ser>
          <c:idx val="2"/>
          <c:order val="3"/>
          <c:tx>
            <c:strRef>
              <c:f>'Race-Ethnicity Travis 2018'!$G$19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'Race-Ethnicity Travis 2018'!$H$16:$J$16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2018'!$H$19:$J$19</c:f>
              <c:numCache>
                <c:formatCode>0%</c:formatCode>
                <c:ptCount val="3"/>
                <c:pt idx="0">
                  <c:v>0.46026553852309016</c:v>
                </c:pt>
                <c:pt idx="1">
                  <c:v>0.32123525282023019</c:v>
                </c:pt>
                <c:pt idx="2">
                  <c:v>0.180642469753859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C3-4ADB-A413-B54C0DCD5CE2}"/>
            </c:ext>
          </c:extLst>
        </c:ser>
        <c:ser>
          <c:idx val="3"/>
          <c:order val="4"/>
          <c:tx>
            <c:strRef>
              <c:f>'Race-Ethnicity Travis 2018'!$G$21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'Race-Ethnicity Travis 2018'!$H$16:$J$16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2018'!$H$21:$J$21</c:f>
              <c:numCache>
                <c:formatCode>0%</c:formatCode>
                <c:ptCount val="3"/>
                <c:pt idx="0">
                  <c:v>0.36246675211712148</c:v>
                </c:pt>
                <c:pt idx="1">
                  <c:v>0.49792584732681283</c:v>
                </c:pt>
                <c:pt idx="2">
                  <c:v>0.68186313138336496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C3-4ADB-A413-B54C0DCD5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1953472"/>
        <c:axId val="172580888"/>
      </c:barChart>
      <c:catAx>
        <c:axId val="17195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Corbel"/>
                <a:cs typeface="Corbel"/>
              </a:defRPr>
            </a:pPr>
            <a:endParaRPr lang="en-US"/>
          </a:p>
        </c:txPr>
        <c:crossAx val="172580888"/>
        <c:crosses val="autoZero"/>
        <c:auto val="1"/>
        <c:lblAlgn val="ctr"/>
        <c:lblOffset val="100"/>
        <c:noMultiLvlLbl val="0"/>
      </c:catAx>
      <c:valAx>
        <c:axId val="1725808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Corbel"/>
                <a:cs typeface="Corbel"/>
              </a:defRPr>
            </a:pPr>
            <a:endParaRPr lang="en-US"/>
          </a:p>
        </c:txPr>
        <c:crossAx val="171953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chemeClr val="tx1"/>
              </a:solidFill>
              <a:latin typeface="Tw Cen MT" panose="020B0602020104020603" pitchFamily="34" charset="0"/>
              <a:ea typeface="Corbel"/>
              <a:cs typeface="Corbe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Corbel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  <a:t>Race &amp; Ethnicity by Age, </a:t>
            </a:r>
            <a:br>
              <a:rPr lang="en-US" sz="14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</a:br>
            <a:r>
              <a:rPr lang="en-US" sz="14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  <a:t>Travis County, 2019</a:t>
            </a:r>
            <a:endParaRPr lang="en-US" sz="1400">
              <a:solidFill>
                <a:schemeClr val="tx1"/>
              </a:solidFill>
              <a:effectLst/>
              <a:latin typeface="Tw Cen MT" panose="020B06020201040206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3"/>
          <c:order val="0"/>
          <c:tx>
            <c:strRef>
              <c:f>'Race-Ethnicity Travis 2018'!$G$9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'Race-Ethnicity Travis 2018'!$H$5:$K$5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2018'!$H$9:$K$9</c:f>
              <c:numCache>
                <c:formatCode>0%</c:formatCode>
                <c:ptCount val="4"/>
                <c:pt idx="0">
                  <c:v>3.9820760984251455E-2</c:v>
                </c:pt>
                <c:pt idx="1">
                  <c:v>4.5472731179290363E-2</c:v>
                </c:pt>
                <c:pt idx="2">
                  <c:v>2.141728430069954E-2</c:v>
                </c:pt>
                <c:pt idx="3">
                  <c:v>1.0985954665554165E-2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03-43C7-99E0-CAE7FCF1D287}"/>
            </c:ext>
          </c:extLst>
        </c:ser>
        <c:ser>
          <c:idx val="0"/>
          <c:order val="1"/>
          <c:tx>
            <c:strRef>
              <c:f>'Race-Ethnicity Travis 2018'!$G$6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'Race-Ethnicity Travis 2018'!$H$5:$K$5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2018'!$H$6:$K$6</c:f>
              <c:numCache>
                <c:formatCode>0%</c:formatCode>
                <c:ptCount val="4"/>
                <c:pt idx="0">
                  <c:v>5.4475113652646248E-2</c:v>
                </c:pt>
                <c:pt idx="1">
                  <c:v>5.514517933482007E-2</c:v>
                </c:pt>
                <c:pt idx="2">
                  <c:v>7.531095138890477E-2</c:v>
                </c:pt>
                <c:pt idx="3">
                  <c:v>5.0719263276626646E-2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03-43C7-99E0-CAE7FCF1D287}"/>
            </c:ext>
          </c:extLst>
        </c:ser>
        <c:ser>
          <c:idx val="1"/>
          <c:order val="2"/>
          <c:tx>
            <c:strRef>
              <c:f>'Race-Ethnicity Travis 2018'!$G$7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'Race-Ethnicity Travis 2018'!$H$5:$K$5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2018'!$H$7:$K$7</c:f>
              <c:numCache>
                <c:formatCode>0%</c:formatCode>
                <c:ptCount val="4"/>
                <c:pt idx="0">
                  <c:v>7.8833904310333602E-2</c:v>
                </c:pt>
                <c:pt idx="1">
                  <c:v>7.6649798845677963E-2</c:v>
                </c:pt>
                <c:pt idx="2">
                  <c:v>8.4110664163352666E-2</c:v>
                </c:pt>
                <c:pt idx="3">
                  <c:v>7.5789180920595195E-2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03-43C7-99E0-CAE7FCF1D287}"/>
            </c:ext>
          </c:extLst>
        </c:ser>
        <c:ser>
          <c:idx val="2"/>
          <c:order val="3"/>
          <c:tx>
            <c:strRef>
              <c:f>'Race-Ethnicity Travis 2018'!$G$8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'Race-Ethnicity Travis 2018'!$H$5:$K$5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2018'!$H$8:$K$8</c:f>
              <c:numCache>
                <c:formatCode>0%</c:formatCode>
                <c:ptCount val="4"/>
                <c:pt idx="0">
                  <c:v>0.45674686396852898</c:v>
                </c:pt>
                <c:pt idx="1">
                  <c:v>0.46026553852309016</c:v>
                </c:pt>
                <c:pt idx="2">
                  <c:v>0.32123525282023019</c:v>
                </c:pt>
                <c:pt idx="3">
                  <c:v>0.180642469753859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03-43C7-99E0-CAE7FCF1D287}"/>
            </c:ext>
          </c:extLst>
        </c:ser>
        <c:ser>
          <c:idx val="4"/>
          <c:order val="4"/>
          <c:tx>
            <c:strRef>
              <c:f>'Race-Ethnicity Travis 2018'!$G$10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'Race-Ethnicity Travis 2018'!$H$5:$K$5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2018'!$H$10:$K$10</c:f>
              <c:numCache>
                <c:formatCode>0%</c:formatCode>
                <c:ptCount val="4"/>
                <c:pt idx="0">
                  <c:v>0.37012335708423971</c:v>
                </c:pt>
                <c:pt idx="1">
                  <c:v>0.36246675211712148</c:v>
                </c:pt>
                <c:pt idx="2">
                  <c:v>0.49792584732681283</c:v>
                </c:pt>
                <c:pt idx="3">
                  <c:v>0.68186313138336496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03-43C7-99E0-CAE7FCF1D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581672"/>
        <c:axId val="172582064"/>
      </c:barChart>
      <c:catAx>
        <c:axId val="172581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2582064"/>
        <c:crosses val="autoZero"/>
        <c:auto val="1"/>
        <c:lblAlgn val="ctr"/>
        <c:lblOffset val="100"/>
        <c:noMultiLvlLbl val="0"/>
      </c:catAx>
      <c:valAx>
        <c:axId val="17258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2581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solidFill>
                  <a:sysClr val="windowText" lastClr="000000"/>
                </a:solidFill>
                <a:latin typeface="Tw Cen MT" panose="020B0602020104020603" pitchFamily="34" charset="0"/>
              </a:rPr>
              <a:t>Race &amp; Ethnicity by Age,</a:t>
            </a:r>
            <a: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 </a:t>
            </a:r>
            <a:b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</a:br>
            <a: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Travis County, 2019</a:t>
            </a:r>
            <a:endParaRPr lang="en-US" sz="1400">
              <a:solidFill>
                <a:sysClr val="windowText" lastClr="000000"/>
              </a:solidFill>
              <a:latin typeface="Tw Cen MT" panose="020B0602020104020603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'Race-Ethnicity Travis 2018'!$G$20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'Race-Ethnicity Travis 2018'!$H$16:$J$16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2018'!$H$20:$J$20</c:f>
              <c:numCache>
                <c:formatCode>0%</c:formatCode>
                <c:ptCount val="3"/>
                <c:pt idx="0">
                  <c:v>4.5472731179290363E-2</c:v>
                </c:pt>
                <c:pt idx="1">
                  <c:v>2.141728430069954E-2</c:v>
                </c:pt>
                <c:pt idx="2">
                  <c:v>1.0985954665554165E-2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C5-4BF4-B099-101EFD3C8071}"/>
            </c:ext>
          </c:extLst>
        </c:ser>
        <c:ser>
          <c:idx val="0"/>
          <c:order val="1"/>
          <c:tx>
            <c:strRef>
              <c:f>'Race-Ethnicity Travis 2018'!$G$17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'Race-Ethnicity Travis 2018'!$H$16:$J$16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2018'!$H$17:$J$17</c:f>
              <c:numCache>
                <c:formatCode>0%</c:formatCode>
                <c:ptCount val="3"/>
                <c:pt idx="0">
                  <c:v>5.514517933482007E-2</c:v>
                </c:pt>
                <c:pt idx="1">
                  <c:v>7.531095138890477E-2</c:v>
                </c:pt>
                <c:pt idx="2">
                  <c:v>5.0719263276626646E-2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C5-4BF4-B099-101EFD3C8071}"/>
            </c:ext>
          </c:extLst>
        </c:ser>
        <c:ser>
          <c:idx val="1"/>
          <c:order val="2"/>
          <c:tx>
            <c:strRef>
              <c:f>'Race-Ethnicity Travis 2018'!$G$18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'Race-Ethnicity Travis 2018'!$H$16:$J$16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2018'!$H$18:$J$18</c:f>
              <c:numCache>
                <c:formatCode>0%</c:formatCode>
                <c:ptCount val="3"/>
                <c:pt idx="0">
                  <c:v>7.6649798845677963E-2</c:v>
                </c:pt>
                <c:pt idx="1">
                  <c:v>8.4110664163352666E-2</c:v>
                </c:pt>
                <c:pt idx="2">
                  <c:v>7.5789180920595195E-2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C5-4BF4-B099-101EFD3C8071}"/>
            </c:ext>
          </c:extLst>
        </c:ser>
        <c:ser>
          <c:idx val="2"/>
          <c:order val="3"/>
          <c:tx>
            <c:strRef>
              <c:f>'Race-Ethnicity Travis 2018'!$G$19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'Race-Ethnicity Travis 2018'!$H$16:$J$16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2018'!$H$19:$J$19</c:f>
              <c:numCache>
                <c:formatCode>0%</c:formatCode>
                <c:ptCount val="3"/>
                <c:pt idx="0">
                  <c:v>0.46026553852309016</c:v>
                </c:pt>
                <c:pt idx="1">
                  <c:v>0.32123525282023019</c:v>
                </c:pt>
                <c:pt idx="2">
                  <c:v>0.180642469753859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C5-4BF4-B099-101EFD3C8071}"/>
            </c:ext>
          </c:extLst>
        </c:ser>
        <c:ser>
          <c:idx val="3"/>
          <c:order val="4"/>
          <c:tx>
            <c:strRef>
              <c:f>'Race-Ethnicity Travis 2018'!$G$21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'Race-Ethnicity Travis 2018'!$H$16:$J$16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2018'!$H$21:$J$21</c:f>
              <c:numCache>
                <c:formatCode>0%</c:formatCode>
                <c:ptCount val="3"/>
                <c:pt idx="0">
                  <c:v>0.36246675211712148</c:v>
                </c:pt>
                <c:pt idx="1">
                  <c:v>0.49792584732681283</c:v>
                </c:pt>
                <c:pt idx="2">
                  <c:v>0.68186313138336496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C5-4BF4-B099-101EFD3C8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1953472"/>
        <c:axId val="172580888"/>
      </c:barChart>
      <c:catAx>
        <c:axId val="17195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Corbel"/>
                <a:cs typeface="Corbel"/>
              </a:defRPr>
            </a:pPr>
            <a:endParaRPr lang="en-US"/>
          </a:p>
        </c:txPr>
        <c:crossAx val="172580888"/>
        <c:crosses val="autoZero"/>
        <c:auto val="1"/>
        <c:lblAlgn val="ctr"/>
        <c:lblOffset val="100"/>
        <c:noMultiLvlLbl val="0"/>
      </c:catAx>
      <c:valAx>
        <c:axId val="1725808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Corbel"/>
                <a:cs typeface="Corbel"/>
              </a:defRPr>
            </a:pPr>
            <a:endParaRPr lang="en-US"/>
          </a:p>
        </c:txPr>
        <c:crossAx val="1719534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chemeClr val="tx1"/>
              </a:solidFill>
              <a:latin typeface="Tw Cen MT" panose="020B0602020104020603" pitchFamily="34" charset="0"/>
              <a:ea typeface="Corbel"/>
              <a:cs typeface="Corbe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Corbel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  <a:t>Race &amp; Ethnicity by Age, </a:t>
            </a:r>
            <a:br>
              <a:rPr lang="en-US" sz="12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</a:br>
            <a:r>
              <a:rPr lang="en-US" sz="12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  <a:t>Travis County, 2019</a:t>
            </a:r>
            <a:endParaRPr lang="en-US" sz="1200">
              <a:solidFill>
                <a:schemeClr val="tx1"/>
              </a:solidFill>
              <a:effectLst/>
              <a:latin typeface="Tw Cen MT" panose="020B06020201040206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3"/>
          <c:order val="0"/>
          <c:tx>
            <c:strRef>
              <c:f>'Race-Ethnicity Travis 2018'!$G$9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'Race-Ethnicity Travis 2018'!$H$5:$K$5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2018'!$H$9:$K$9</c:f>
              <c:numCache>
                <c:formatCode>0%</c:formatCode>
                <c:ptCount val="4"/>
                <c:pt idx="0">
                  <c:v>3.9820760984251455E-2</c:v>
                </c:pt>
                <c:pt idx="1">
                  <c:v>4.5472731179290363E-2</c:v>
                </c:pt>
                <c:pt idx="2">
                  <c:v>2.141728430069954E-2</c:v>
                </c:pt>
                <c:pt idx="3">
                  <c:v>1.0985954665554165E-2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86-41D6-9617-7372A23FBD03}"/>
            </c:ext>
          </c:extLst>
        </c:ser>
        <c:ser>
          <c:idx val="0"/>
          <c:order val="1"/>
          <c:tx>
            <c:strRef>
              <c:f>'Race-Ethnicity Travis 2018'!$G$6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'Race-Ethnicity Travis 2018'!$H$5:$K$5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2018'!$H$6:$K$6</c:f>
              <c:numCache>
                <c:formatCode>0%</c:formatCode>
                <c:ptCount val="4"/>
                <c:pt idx="0">
                  <c:v>5.4475113652646248E-2</c:v>
                </c:pt>
                <c:pt idx="1">
                  <c:v>5.514517933482007E-2</c:v>
                </c:pt>
                <c:pt idx="2">
                  <c:v>7.531095138890477E-2</c:v>
                </c:pt>
                <c:pt idx="3">
                  <c:v>5.0719263276626646E-2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86-41D6-9617-7372A23FBD03}"/>
            </c:ext>
          </c:extLst>
        </c:ser>
        <c:ser>
          <c:idx val="1"/>
          <c:order val="2"/>
          <c:tx>
            <c:strRef>
              <c:f>'Race-Ethnicity Travis 2018'!$G$7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'Race-Ethnicity Travis 2018'!$H$5:$K$5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2018'!$H$7:$K$7</c:f>
              <c:numCache>
                <c:formatCode>0%</c:formatCode>
                <c:ptCount val="4"/>
                <c:pt idx="0">
                  <c:v>7.8833904310333602E-2</c:v>
                </c:pt>
                <c:pt idx="1">
                  <c:v>7.6649798845677963E-2</c:v>
                </c:pt>
                <c:pt idx="2">
                  <c:v>8.4110664163352666E-2</c:v>
                </c:pt>
                <c:pt idx="3">
                  <c:v>7.5789180920595195E-2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86-41D6-9617-7372A23FBD03}"/>
            </c:ext>
          </c:extLst>
        </c:ser>
        <c:ser>
          <c:idx val="2"/>
          <c:order val="3"/>
          <c:tx>
            <c:strRef>
              <c:f>'Race-Ethnicity Travis 2018'!$G$8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'Race-Ethnicity Travis 2018'!$H$5:$K$5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2018'!$H$8:$K$8</c:f>
              <c:numCache>
                <c:formatCode>0%</c:formatCode>
                <c:ptCount val="4"/>
                <c:pt idx="0">
                  <c:v>0.45674686396852898</c:v>
                </c:pt>
                <c:pt idx="1">
                  <c:v>0.46026553852309016</c:v>
                </c:pt>
                <c:pt idx="2">
                  <c:v>0.32123525282023019</c:v>
                </c:pt>
                <c:pt idx="3">
                  <c:v>0.180642469753859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86-41D6-9617-7372A23FBD03}"/>
            </c:ext>
          </c:extLst>
        </c:ser>
        <c:ser>
          <c:idx val="4"/>
          <c:order val="4"/>
          <c:tx>
            <c:strRef>
              <c:f>'Race-Ethnicity Travis 2018'!$G$10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'Race-Ethnicity Travis 2018'!$H$5:$K$5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2018'!$H$10:$K$10</c:f>
              <c:numCache>
                <c:formatCode>0%</c:formatCode>
                <c:ptCount val="4"/>
                <c:pt idx="0">
                  <c:v>0.37012335708423971</c:v>
                </c:pt>
                <c:pt idx="1">
                  <c:v>0.36246675211712148</c:v>
                </c:pt>
                <c:pt idx="2">
                  <c:v>0.49792584732681283</c:v>
                </c:pt>
                <c:pt idx="3">
                  <c:v>0.68186313138336496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86-41D6-9617-7372A23FB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581672"/>
        <c:axId val="172582064"/>
      </c:barChart>
      <c:catAx>
        <c:axId val="172581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2582064"/>
        <c:crosses val="autoZero"/>
        <c:auto val="1"/>
        <c:lblAlgn val="ctr"/>
        <c:lblOffset val="100"/>
        <c:noMultiLvlLbl val="0"/>
      </c:catAx>
      <c:valAx>
        <c:axId val="17258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2581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solidFill>
                  <a:sysClr val="windowText" lastClr="000000"/>
                </a:solidFill>
                <a:latin typeface="Tw Cen MT" panose="020B0602020104020603" pitchFamily="34" charset="0"/>
              </a:rPr>
              <a:t>Race &amp; Ethnicity by Age,</a:t>
            </a:r>
            <a: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 </a:t>
            </a:r>
            <a:b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</a:br>
            <a: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Travis County, 2018</a:t>
            </a:r>
            <a:endParaRPr lang="en-US" sz="1400">
              <a:solidFill>
                <a:sysClr val="windowText" lastClr="000000"/>
              </a:solidFill>
              <a:latin typeface="Tw Cen MT" panose="020B0602020104020603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'Race-Ethnicity Travis 2018'!$G$79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invertIfNegative val="0"/>
          <c:cat>
            <c:strRef>
              <c:f>'Race-Ethnicity Travis 2018'!$H$75:$J$75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2018'!$H$79:$J$79</c:f>
              <c:numCache>
                <c:formatCode>0%</c:formatCode>
                <c:ptCount val="3"/>
                <c:pt idx="0">
                  <c:v>2.9221091938268221E-2</c:v>
                </c:pt>
                <c:pt idx="1">
                  <c:v>1.9280243867299967E-2</c:v>
                </c:pt>
                <c:pt idx="2">
                  <c:v>5.6652605880807796E-2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6F-46DD-8FDB-5C82596C0947}"/>
            </c:ext>
          </c:extLst>
        </c:ser>
        <c:ser>
          <c:idx val="4"/>
          <c:order val="1"/>
          <c:tx>
            <c:strRef>
              <c:f>'Race-Ethnicity Travis 2018'!$G$76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'Race-Ethnicity Travis 2018'!$H$75:$J$75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2018'!$H$76:$J$76</c:f>
              <c:numCache>
                <c:formatCode>0%</c:formatCode>
                <c:ptCount val="3"/>
                <c:pt idx="0">
                  <c:v>5.6460276652021545E-2</c:v>
                </c:pt>
                <c:pt idx="1">
                  <c:v>7.5129148591199832E-2</c:v>
                </c:pt>
                <c:pt idx="2">
                  <c:v>4.8169780126392558E-2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6F-46DD-8FDB-5C82596C0947}"/>
            </c:ext>
          </c:extLst>
        </c:ser>
        <c:ser>
          <c:idx val="0"/>
          <c:order val="2"/>
          <c:tx>
            <c:strRef>
              <c:f>'Race-Ethnicity Travis 2018'!$G$77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'Race-Ethnicity Travis 2018'!$H$75:$J$75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2018'!$H$77:$J$77</c:f>
              <c:numCache>
                <c:formatCode>0%</c:formatCode>
                <c:ptCount val="3"/>
                <c:pt idx="0">
                  <c:v>9.2749553607812049E-2</c:v>
                </c:pt>
                <c:pt idx="1">
                  <c:v>7.9583888841881875E-2</c:v>
                </c:pt>
                <c:pt idx="2">
                  <c:v>7.3533274617963815E-2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6F-46DD-8FDB-5C82596C0947}"/>
            </c:ext>
          </c:extLst>
        </c:ser>
        <c:ser>
          <c:idx val="1"/>
          <c:order val="3"/>
          <c:tx>
            <c:strRef>
              <c:f>'Race-Ethnicity Travis 2018'!$G$78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'Race-Ethnicity Travis 2018'!$H$75:$J$75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2018'!$H$78:$J$78</c:f>
              <c:numCache>
                <c:formatCode>0%</c:formatCode>
                <c:ptCount val="3"/>
                <c:pt idx="0">
                  <c:v>0.46609271621311243</c:v>
                </c:pt>
                <c:pt idx="1">
                  <c:v>0.31452455709865601</c:v>
                </c:pt>
                <c:pt idx="2">
                  <c:v>0.16923160122993247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6F-46DD-8FDB-5C82596C0947}"/>
            </c:ext>
          </c:extLst>
        </c:ser>
        <c:ser>
          <c:idx val="3"/>
          <c:order val="4"/>
          <c:tx>
            <c:strRef>
              <c:f>'Race-Ethnicity Travis 2018'!$G$80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'Race-Ethnicity Travis 2018'!$H$75:$J$75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2018'!$H$80:$J$80</c:f>
              <c:numCache>
                <c:formatCode>0%</c:formatCode>
                <c:ptCount val="3"/>
                <c:pt idx="0">
                  <c:v>0.35767312978343496</c:v>
                </c:pt>
                <c:pt idx="1">
                  <c:v>0.48884256792449809</c:v>
                </c:pt>
                <c:pt idx="2">
                  <c:v>0.65303852037268806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6F-46DD-8FDB-5C82596C0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1953472"/>
        <c:axId val="172580888"/>
      </c:barChart>
      <c:catAx>
        <c:axId val="17195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Corbel"/>
                <a:cs typeface="Corbel"/>
              </a:defRPr>
            </a:pPr>
            <a:endParaRPr lang="en-US"/>
          </a:p>
        </c:txPr>
        <c:crossAx val="172580888"/>
        <c:crosses val="autoZero"/>
        <c:auto val="1"/>
        <c:lblAlgn val="ctr"/>
        <c:lblOffset val="100"/>
        <c:noMultiLvlLbl val="0"/>
      </c:catAx>
      <c:valAx>
        <c:axId val="1725808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Corbel"/>
                <a:cs typeface="Corbel"/>
              </a:defRPr>
            </a:pPr>
            <a:endParaRPr lang="en-US"/>
          </a:p>
        </c:txPr>
        <c:crossAx val="171953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chemeClr val="tx1"/>
              </a:solidFill>
              <a:latin typeface="Tw Cen MT" panose="020B0602020104020603" pitchFamily="34" charset="0"/>
              <a:ea typeface="Corbel"/>
              <a:cs typeface="Corbe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Corbel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  <a:t>Race &amp; Ethnicity by Age, </a:t>
            </a:r>
            <a:br>
              <a:rPr lang="en-US" sz="14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</a:br>
            <a:r>
              <a:rPr lang="en-US" sz="14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  <a:t>Travis County, 2018</a:t>
            </a:r>
            <a:endParaRPr lang="en-US" sz="1400">
              <a:solidFill>
                <a:schemeClr val="tx1"/>
              </a:solidFill>
              <a:effectLst/>
              <a:latin typeface="Tw Cen MT" panose="020B06020201040206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'Race-Ethnicity Travis 2018'!$G$68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'Race-Ethnicity Travis 2018'!$H$64:$K$64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2018'!$H$68:$K$68</c:f>
              <c:numCache>
                <c:formatCode>0%</c:formatCode>
                <c:ptCount val="4"/>
                <c:pt idx="0">
                  <c:v>3.6749792716372215E-2</c:v>
                </c:pt>
                <c:pt idx="1">
                  <c:v>2.9221091938268221E-2</c:v>
                </c:pt>
                <c:pt idx="2">
                  <c:v>1.9280243867299967E-2</c:v>
                </c:pt>
                <c:pt idx="3">
                  <c:v>5.6652605880807796E-2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A4-4786-BA1C-36F3300D1B3B}"/>
            </c:ext>
          </c:extLst>
        </c:ser>
        <c:ser>
          <c:idx val="3"/>
          <c:order val="1"/>
          <c:tx>
            <c:strRef>
              <c:f>'Race-Ethnicity Travis 2018'!$G$65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'Race-Ethnicity Travis 2018'!$H$64:$K$64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2018'!$H$65:$K$65</c:f>
              <c:numCache>
                <c:formatCode>0%</c:formatCode>
                <c:ptCount val="4"/>
                <c:pt idx="0">
                  <c:v>5.3039096881178645E-2</c:v>
                </c:pt>
                <c:pt idx="1">
                  <c:v>5.6460276652021545E-2</c:v>
                </c:pt>
                <c:pt idx="2">
                  <c:v>7.5129148591199832E-2</c:v>
                </c:pt>
                <c:pt idx="3">
                  <c:v>4.8169780126392558E-2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A4-4786-BA1C-36F3300D1B3B}"/>
            </c:ext>
          </c:extLst>
        </c:ser>
        <c:ser>
          <c:idx val="0"/>
          <c:order val="2"/>
          <c:tx>
            <c:strRef>
              <c:f>'Race-Ethnicity Travis 2018'!$G$66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'Race-Ethnicity Travis 2018'!$H$64:$K$64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2018'!$H$66:$K$66</c:f>
              <c:numCache>
                <c:formatCode>0%</c:formatCode>
                <c:ptCount val="4"/>
                <c:pt idx="0">
                  <c:v>8.7301486064162256E-2</c:v>
                </c:pt>
                <c:pt idx="1">
                  <c:v>9.2749553607812049E-2</c:v>
                </c:pt>
                <c:pt idx="2">
                  <c:v>7.9583888841881875E-2</c:v>
                </c:pt>
                <c:pt idx="3">
                  <c:v>7.3533274617963815E-2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A4-4786-BA1C-36F3300D1B3B}"/>
            </c:ext>
          </c:extLst>
        </c:ser>
        <c:ser>
          <c:idx val="1"/>
          <c:order val="3"/>
          <c:tx>
            <c:strRef>
              <c:f>'Race-Ethnicity Travis 2018'!$G$67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'Race-Ethnicity Travis 2018'!$H$64:$K$64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2018'!$H$67:$K$67</c:f>
              <c:numCache>
                <c:formatCode>0%</c:formatCode>
                <c:ptCount val="4"/>
                <c:pt idx="0">
                  <c:v>0.46115185917469226</c:v>
                </c:pt>
                <c:pt idx="1">
                  <c:v>0.46609271621311243</c:v>
                </c:pt>
                <c:pt idx="2">
                  <c:v>0.31452455709865601</c:v>
                </c:pt>
                <c:pt idx="3">
                  <c:v>0.16923160122993247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A4-4786-BA1C-36F3300D1B3B}"/>
            </c:ext>
          </c:extLst>
        </c:ser>
        <c:ser>
          <c:idx val="4"/>
          <c:order val="4"/>
          <c:tx>
            <c:strRef>
              <c:f>'Race-Ethnicity Travis 2018'!$G$69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'Race-Ethnicity Travis 2018'!$H$64:$K$64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2018'!$H$69:$K$69</c:f>
              <c:numCache>
                <c:formatCode>0%</c:formatCode>
                <c:ptCount val="4"/>
                <c:pt idx="0">
                  <c:v>0.36175776516359459</c:v>
                </c:pt>
                <c:pt idx="1">
                  <c:v>0.35767312978343496</c:v>
                </c:pt>
                <c:pt idx="2">
                  <c:v>0.48884256792449809</c:v>
                </c:pt>
                <c:pt idx="3">
                  <c:v>0.65303852037268806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A4-4786-BA1C-36F3300D1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581672"/>
        <c:axId val="172582064"/>
      </c:barChart>
      <c:catAx>
        <c:axId val="172581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2582064"/>
        <c:crosses val="autoZero"/>
        <c:auto val="1"/>
        <c:lblAlgn val="ctr"/>
        <c:lblOffset val="100"/>
        <c:noMultiLvlLbl val="0"/>
      </c:catAx>
      <c:valAx>
        <c:axId val="17258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2581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image" Target="../media/image1.png"/><Relationship Id="rId7" Type="http://schemas.openxmlformats.org/officeDocument/2006/relationships/chart" Target="../charts/chart8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image" Target="../media/image2.png"/><Relationship Id="rId9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301336</xdr:colOff>
      <xdr:row>2</xdr:row>
      <xdr:rowOff>27132</xdr:rowOff>
    </xdr:from>
    <xdr:to>
      <xdr:col>21</xdr:col>
      <xdr:colOff>745836</xdr:colOff>
      <xdr:row>15</xdr:row>
      <xdr:rowOff>174914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605561</xdr:colOff>
      <xdr:row>30</xdr:row>
      <xdr:rowOff>189057</xdr:rowOff>
    </xdr:from>
    <xdr:to>
      <xdr:col>20</xdr:col>
      <xdr:colOff>705024</xdr:colOff>
      <xdr:row>43</xdr:row>
      <xdr:rowOff>176484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114300</xdr:colOff>
      <xdr:row>16</xdr:row>
      <xdr:rowOff>161925</xdr:rowOff>
    </xdr:from>
    <xdr:to>
      <xdr:col>21</xdr:col>
      <xdr:colOff>213763</xdr:colOff>
      <xdr:row>29</xdr:row>
      <xdr:rowOff>149352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FCB6571-BBFB-47EA-96A8-1F7CBA044D6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14</xdr:col>
      <xdr:colOff>800100</xdr:colOff>
      <xdr:row>23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FDCA08-CFF6-4238-BA5F-E0A698FC79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443768</xdr:colOff>
      <xdr:row>19</xdr:row>
      <xdr:rowOff>86215</xdr:rowOff>
    </xdr:from>
    <xdr:to>
      <xdr:col>18</xdr:col>
      <xdr:colOff>273951</xdr:colOff>
      <xdr:row>30</xdr:row>
      <xdr:rowOff>110639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478692</xdr:colOff>
      <xdr:row>0</xdr:row>
      <xdr:rowOff>171939</xdr:rowOff>
    </xdr:from>
    <xdr:to>
      <xdr:col>19</xdr:col>
      <xdr:colOff>361462</xdr:colOff>
      <xdr:row>15</xdr:row>
      <xdr:rowOff>166078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43542</xdr:colOff>
      <xdr:row>139</xdr:row>
      <xdr:rowOff>54429</xdr:rowOff>
    </xdr:from>
    <xdr:to>
      <xdr:col>17</xdr:col>
      <xdr:colOff>4357</xdr:colOff>
      <xdr:row>149</xdr:row>
      <xdr:rowOff>75571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A88A882-F691-4A4F-988E-985695727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098971" y="16622486"/>
          <a:ext cx="5066215" cy="2786113"/>
        </a:xfrm>
        <a:prstGeom prst="rect">
          <a:avLst/>
        </a:prstGeom>
      </xdr:spPr>
    </xdr:pic>
    <xdr:clientData/>
  </xdr:twoCellAnchor>
  <xdr:twoCellAnchor editAs="oneCell">
    <xdr:from>
      <xdr:col>10</xdr:col>
      <xdr:colOff>-1</xdr:colOff>
      <xdr:row>123</xdr:row>
      <xdr:rowOff>0</xdr:rowOff>
    </xdr:from>
    <xdr:to>
      <xdr:col>16</xdr:col>
      <xdr:colOff>629192</xdr:colOff>
      <xdr:row>138</xdr:row>
      <xdr:rowOff>21583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30B1CE7-D9C9-45F9-82E1-1421B159F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55428" y="13563600"/>
          <a:ext cx="5005250" cy="2840982"/>
        </a:xfrm>
        <a:prstGeom prst="rect">
          <a:avLst/>
        </a:prstGeom>
      </xdr:spPr>
    </xdr:pic>
    <xdr:clientData/>
  </xdr:twoCellAnchor>
  <xdr:twoCellAnchor>
    <xdr:from>
      <xdr:col>13</xdr:col>
      <xdr:colOff>0</xdr:colOff>
      <xdr:row>31</xdr:row>
      <xdr:rowOff>32657</xdr:rowOff>
    </xdr:from>
    <xdr:to>
      <xdr:col>17</xdr:col>
      <xdr:colOff>557348</xdr:colOff>
      <xdr:row>41</xdr:row>
      <xdr:rowOff>231253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B141B52-3E7A-436F-B99A-D993C87C55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0</xdr:colOff>
      <xdr:row>44</xdr:row>
      <xdr:rowOff>0</xdr:rowOff>
    </xdr:from>
    <xdr:to>
      <xdr:col>18</xdr:col>
      <xdr:colOff>440654</xdr:colOff>
      <xdr:row>56</xdr:row>
      <xdr:rowOff>93684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5CB5987-7450-4F03-9A49-34427E33D7B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443768</xdr:colOff>
      <xdr:row>78</xdr:row>
      <xdr:rowOff>86215</xdr:rowOff>
    </xdr:from>
    <xdr:to>
      <xdr:col>18</xdr:col>
      <xdr:colOff>273951</xdr:colOff>
      <xdr:row>89</xdr:row>
      <xdr:rowOff>110639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F1C841F-282D-4BA7-8C60-1BC19544B2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489578</xdr:colOff>
      <xdr:row>61</xdr:row>
      <xdr:rowOff>128396</xdr:rowOff>
    </xdr:from>
    <xdr:to>
      <xdr:col>19</xdr:col>
      <xdr:colOff>372348</xdr:colOff>
      <xdr:row>76</xdr:row>
      <xdr:rowOff>122536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368858A-04AD-4D17-A4EC-210A8EC029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90</xdr:row>
      <xdr:rowOff>32657</xdr:rowOff>
    </xdr:from>
    <xdr:to>
      <xdr:col>17</xdr:col>
      <xdr:colOff>557348</xdr:colOff>
      <xdr:row>100</xdr:row>
      <xdr:rowOff>231253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86F8F37F-617E-4F5B-BD51-A645690300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0</xdr:colOff>
      <xdr:row>103</xdr:row>
      <xdr:rowOff>0</xdr:rowOff>
    </xdr:from>
    <xdr:to>
      <xdr:col>18</xdr:col>
      <xdr:colOff>440654</xdr:colOff>
      <xdr:row>115</xdr:row>
      <xdr:rowOff>93684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FC28330-49C4-4C82-A6FF-945CC5F651F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411481</xdr:colOff>
      <xdr:row>9</xdr:row>
      <xdr:rowOff>123825</xdr:rowOff>
    </xdr:from>
    <xdr:to>
      <xdr:col>12</xdr:col>
      <xdr:colOff>640080</xdr:colOff>
      <xdr:row>24</xdr:row>
      <xdr:rowOff>167640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0</xdr:colOff>
      <xdr:row>9</xdr:row>
      <xdr:rowOff>0</xdr:rowOff>
    </xdr:from>
    <xdr:to>
      <xdr:col>21</xdr:col>
      <xdr:colOff>225889</xdr:colOff>
      <xdr:row>24</xdr:row>
      <xdr:rowOff>45982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64093D-C047-4015-9ED5-EAE85C49A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64880" y="1981200"/>
          <a:ext cx="3883489" cy="30177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14818</xdr:colOff>
      <xdr:row>1</xdr:row>
      <xdr:rowOff>59267</xdr:rowOff>
    </xdr:from>
    <xdr:to>
      <xdr:col>11</xdr:col>
      <xdr:colOff>709084</xdr:colOff>
      <xdr:row>17</xdr:row>
      <xdr:rowOff>190501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0</xdr:colOff>
      <xdr:row>6</xdr:row>
      <xdr:rowOff>0</xdr:rowOff>
    </xdr:from>
    <xdr:to>
      <xdr:col>17</xdr:col>
      <xdr:colOff>695676</xdr:colOff>
      <xdr:row>22</xdr:row>
      <xdr:rowOff>129661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CE6F189-F218-45EA-A3F6-797290B7F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20083" y="1206500"/>
          <a:ext cx="4548010" cy="33469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1438275</xdr:colOff>
      <xdr:row>22</xdr:row>
      <xdr:rowOff>142875</xdr:rowOff>
    </xdr:from>
    <xdr:to>
      <xdr:col>3</xdr:col>
      <xdr:colOff>819150</xdr:colOff>
      <xdr:row>37</xdr:row>
      <xdr:rowOff>166688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97790</xdr:colOff>
      <xdr:row>45</xdr:row>
      <xdr:rowOff>147320</xdr:rowOff>
    </xdr:from>
    <xdr:to>
      <xdr:col>20</xdr:col>
      <xdr:colOff>59690</xdr:colOff>
      <xdr:row>73</xdr:row>
      <xdr:rowOff>79375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370205</xdr:colOff>
      <xdr:row>15</xdr:row>
      <xdr:rowOff>145415</xdr:rowOff>
    </xdr:from>
    <xdr:to>
      <xdr:col>12</xdr:col>
      <xdr:colOff>9525</xdr:colOff>
      <xdr:row>31</xdr:row>
      <xdr:rowOff>135255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408940</xdr:colOff>
      <xdr:row>45</xdr:row>
      <xdr:rowOff>100965</xdr:rowOff>
    </xdr:from>
    <xdr:to>
      <xdr:col>13</xdr:col>
      <xdr:colOff>218440</xdr:colOff>
      <xdr:row>59</xdr:row>
      <xdr:rowOff>177165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289559</xdr:colOff>
      <xdr:row>40</xdr:row>
      <xdr:rowOff>164781</xdr:rowOff>
    </xdr:from>
    <xdr:to>
      <xdr:col>20</xdr:col>
      <xdr:colOff>457200</xdr:colOff>
      <xdr:row>58</xdr:row>
      <xdr:rowOff>74294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407035</xdr:colOff>
      <xdr:row>29</xdr:row>
      <xdr:rowOff>63500</xdr:rowOff>
    </xdr:from>
    <xdr:to>
      <xdr:col>36</xdr:col>
      <xdr:colOff>30480</xdr:colOff>
      <xdr:row>46</xdr:row>
      <xdr:rowOff>176213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341630</xdr:colOff>
      <xdr:row>10</xdr:row>
      <xdr:rowOff>136525</xdr:rowOff>
    </xdr:from>
    <xdr:to>
      <xdr:col>36</xdr:col>
      <xdr:colOff>366395</xdr:colOff>
      <xdr:row>28</xdr:row>
      <xdr:rowOff>42863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668655</xdr:colOff>
      <xdr:row>62</xdr:row>
      <xdr:rowOff>58420</xdr:rowOff>
    </xdr:from>
    <xdr:to>
      <xdr:col>20</xdr:col>
      <xdr:colOff>461645</xdr:colOff>
      <xdr:row>79</xdr:row>
      <xdr:rowOff>181928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54611</xdr:colOff>
      <xdr:row>42</xdr:row>
      <xdr:rowOff>200659</xdr:rowOff>
    </xdr:from>
    <xdr:to>
      <xdr:col>27</xdr:col>
      <xdr:colOff>174624</xdr:colOff>
      <xdr:row>58</xdr:row>
      <xdr:rowOff>85724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F034537-CCBC-4A45-A8C2-B659640C4E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210127</xdr:colOff>
      <xdr:row>41</xdr:row>
      <xdr:rowOff>88322</xdr:rowOff>
    </xdr:from>
    <xdr:to>
      <xdr:col>7</xdr:col>
      <xdr:colOff>154710</xdr:colOff>
      <xdr:row>65</xdr:row>
      <xdr:rowOff>69272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916716</xdr:colOff>
      <xdr:row>0</xdr:row>
      <xdr:rowOff>0</xdr:rowOff>
    </xdr:from>
    <xdr:to>
      <xdr:col>12</xdr:col>
      <xdr:colOff>741717</xdr:colOff>
      <xdr:row>17</xdr:row>
      <xdr:rowOff>97790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848361</xdr:colOff>
      <xdr:row>0</xdr:row>
      <xdr:rowOff>264372</xdr:rowOff>
    </xdr:from>
    <xdr:to>
      <xdr:col>22</xdr:col>
      <xdr:colOff>893446</xdr:colOff>
      <xdr:row>6</xdr:row>
      <xdr:rowOff>935779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248082-455F-4879-9111-C7CBFA9FE5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4941BA2-FB7E-49EB-A037-3F95CD8D90A8}" name="Table14" displayName="Table14" ref="A2:O7" totalsRowShown="0" headerRowDxfId="17">
  <tableColumns count="15">
    <tableColumn id="1" xr3:uid="{7E120429-71E7-4F71-8A3C-A23440A87B51}" name=" "/>
    <tableColumn id="2" xr3:uid="{7D8EB92C-EFCE-458D-98C4-0AB3AF32E54B}" name="2006" dataDxfId="16"/>
    <tableColumn id="3" xr3:uid="{FA28A11C-5A02-4DDF-B095-40EC6E1FB2BF}" name="2007" dataDxfId="15"/>
    <tableColumn id="4" xr3:uid="{D9E20AC1-CCDF-4E96-B89E-C06887223229}" name="2008" dataDxfId="14"/>
    <tableColumn id="5" xr3:uid="{1C86D4CE-2034-4ED9-803E-B5088F1D85B9}" name="2009" dataDxfId="13"/>
    <tableColumn id="6" xr3:uid="{9F48701E-6FAC-4B1D-99BA-2F50DB107AC3}" name="2010" dataDxfId="12"/>
    <tableColumn id="7" xr3:uid="{CC5B81B7-8C6A-4DD6-B911-A6B63363B30A}" name="2011" dataDxfId="11"/>
    <tableColumn id="8" xr3:uid="{16C729FF-2492-417E-94E2-CD8CF3FA16F5}" name="2012" dataDxfId="10"/>
    <tableColumn id="9" xr3:uid="{24AA3342-513F-4B7A-883D-EB9C2E6AC534}" name="2013" dataCellStyle="Percent"/>
    <tableColumn id="10" xr3:uid="{0E8E67DF-5EA3-4406-B786-69682CA0A559}" name="2014" dataDxfId="9">
      <calculatedColumnFormula>119785/437375</calculatedColumnFormula>
    </tableColumn>
    <tableColumn id="11" xr3:uid="{B5F5C87C-F248-42C5-A4F1-DE0E180D4452}" name="2015" dataDxfId="8">
      <calculatedColumnFormula>125395/446342</calculatedColumnFormula>
    </tableColumn>
    <tableColumn id="12" xr3:uid="{82C0284F-0FE8-46A6-85F6-3E43CEC7C3DA}" name="2016" dataDxfId="7">
      <calculatedColumnFormula>121956/457810</calculatedColumnFormula>
    </tableColumn>
    <tableColumn id="13" xr3:uid="{B576CB13-79FB-4183-A1A3-261580B83B4B}" name="2017" dataDxfId="6">
      <calculatedColumnFormula>125658/462632</calculatedColumnFormula>
    </tableColumn>
    <tableColumn id="14" xr3:uid="{0584D12C-731D-4571-9452-F13CD941A49A}" name="2018" dataDxfId="5">
      <calculatedColumnFormula>138108/486548</calculatedColumnFormula>
    </tableColumn>
    <tableColumn id="15" xr3:uid="{EE454165-7382-4921-81C4-5C737E2AE8E8}" name="2019" dataDxfId="4">
      <calculatedColumnFormula>136733/507751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BDAFA58-F82A-4D5A-B6F3-91CE9D0FC9F4}" name="Table1" displayName="Table1" ref="A2:E9" totalsRowShown="0">
  <tableColumns count="5">
    <tableColumn id="1" xr3:uid="{68E27AD0-F6B3-4E0C-95B4-70D7203E73CC}" name=" "/>
    <tableColumn id="3" xr3:uid="{D64A49CC-B812-493F-B4E3-A8367209AD0D}" name="Black" dataDxfId="3" dataCellStyle="Percent"/>
    <tableColumn id="4" xr3:uid="{AECEBF61-5872-428F-A197-DAAD60C4732E}" name="Hispanic or Latino" dataDxfId="2" dataCellStyle="Percent"/>
    <tableColumn id="5" xr3:uid="{29880738-9464-489E-A23B-FE0DDFDA1357}" name="White" dataDxfId="1" dataCellStyle="Percent"/>
    <tableColumn id="2" xr3:uid="{D6F45875-A4CE-43A0-B3E1-DDF49AB26F15}" name="Asian" dataDxfId="0" dataCellStyle="Percen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rbit">
      <a:majorFont>
        <a:latin typeface="Candara"/>
        <a:ea typeface=""/>
        <a:cs typeface=""/>
        <a:font script="Jpan" typeface="ＭＳ Ｐゴシック"/>
        <a:font script="Hans" typeface="宋体"/>
        <a:font script="Hant" typeface="新細明體"/>
      </a:majorFont>
      <a:minorFont>
        <a:latin typeface="Candara"/>
        <a:ea typeface=""/>
        <a:cs typeface=""/>
        <a:font script="Jpan" typeface="ＭＳ Ｐゴシック"/>
        <a:font script="Hans" typeface="宋体"/>
        <a:font script="Hant" typeface="新細明體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zoomScale="80" zoomScaleNormal="80" workbookViewId="0">
      <selection activeCell="D19" sqref="D19"/>
    </sheetView>
  </sheetViews>
  <sheetFormatPr defaultColWidth="11.54296875" defaultRowHeight="15.6" x14ac:dyDescent="0.3"/>
  <cols>
    <col min="1" max="1" width="13.453125" customWidth="1"/>
    <col min="2" max="2" width="8.453125" customWidth="1"/>
    <col min="3" max="8" width="9.36328125" customWidth="1"/>
    <col min="9" max="9" width="10.36328125" customWidth="1"/>
  </cols>
  <sheetData>
    <row r="1" spans="1:16" ht="19.8" x14ac:dyDescent="0.4">
      <c r="A1" s="82" t="s">
        <v>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6" ht="18" thickBot="1" x14ac:dyDescent="0.4">
      <c r="A2" s="1" t="s">
        <v>0</v>
      </c>
      <c r="B2" s="2">
        <v>2006</v>
      </c>
      <c r="C2" s="2">
        <v>2007</v>
      </c>
      <c r="D2" s="2">
        <v>2008</v>
      </c>
      <c r="E2" s="2">
        <v>2009</v>
      </c>
      <c r="F2" s="2">
        <v>2010</v>
      </c>
      <c r="G2" s="2">
        <v>2011</v>
      </c>
      <c r="H2" s="2">
        <v>2012</v>
      </c>
      <c r="I2" s="2">
        <v>2013</v>
      </c>
      <c r="J2" s="2">
        <v>2014</v>
      </c>
      <c r="K2" s="2">
        <v>2015</v>
      </c>
      <c r="L2" s="2">
        <v>2016</v>
      </c>
      <c r="M2" s="2">
        <v>2017</v>
      </c>
      <c r="N2" s="2">
        <v>2018</v>
      </c>
      <c r="O2" s="2">
        <v>2019</v>
      </c>
    </row>
    <row r="3" spans="1:16" ht="16.2" thickTop="1" x14ac:dyDescent="0.3">
      <c r="A3" s="3" t="s">
        <v>1</v>
      </c>
      <c r="B3" s="35">
        <v>74869</v>
      </c>
      <c r="C3" s="35">
        <v>78684</v>
      </c>
      <c r="D3" s="35">
        <v>82393</v>
      </c>
      <c r="E3" s="35">
        <v>81662</v>
      </c>
      <c r="F3" s="35">
        <v>76060</v>
      </c>
      <c r="G3" s="35">
        <v>78739</v>
      </c>
      <c r="H3" s="35">
        <v>79224</v>
      </c>
      <c r="I3" s="35">
        <v>78303</v>
      </c>
      <c r="J3" s="36">
        <v>78891</v>
      </c>
      <c r="K3" s="36">
        <v>79611</v>
      </c>
      <c r="L3" s="36">
        <v>79506</v>
      </c>
      <c r="M3" s="36">
        <v>78992</v>
      </c>
      <c r="N3" s="36">
        <v>78395</v>
      </c>
      <c r="O3" s="36">
        <v>76769</v>
      </c>
    </row>
    <row r="4" spans="1:16" x14ac:dyDescent="0.3">
      <c r="A4" s="3" t="s">
        <v>2</v>
      </c>
      <c r="B4" s="35">
        <v>63015</v>
      </c>
      <c r="C4" s="35">
        <v>71648</v>
      </c>
      <c r="D4" s="35">
        <v>70959</v>
      </c>
      <c r="E4" s="35">
        <v>69084</v>
      </c>
      <c r="F4" s="35">
        <v>72842</v>
      </c>
      <c r="G4" s="35">
        <v>73495</v>
      </c>
      <c r="H4" s="35">
        <v>79473</v>
      </c>
      <c r="I4" s="35">
        <v>72997</v>
      </c>
      <c r="J4" s="36">
        <v>78969</v>
      </c>
      <c r="K4" s="36">
        <v>77291</v>
      </c>
      <c r="L4" s="36">
        <v>75467</v>
      </c>
      <c r="M4" s="36">
        <v>73687</v>
      </c>
      <c r="N4" s="36">
        <v>73167</v>
      </c>
      <c r="O4" s="36">
        <v>71732</v>
      </c>
    </row>
    <row r="5" spans="1:16" x14ac:dyDescent="0.3">
      <c r="A5" s="3" t="s">
        <v>3</v>
      </c>
      <c r="B5" s="35">
        <v>57204</v>
      </c>
      <c r="C5" s="35">
        <v>58091</v>
      </c>
      <c r="D5" s="35">
        <v>63980</v>
      </c>
      <c r="E5" s="35">
        <v>61997</v>
      </c>
      <c r="F5" s="35">
        <v>61710</v>
      </c>
      <c r="G5" s="35">
        <v>65223</v>
      </c>
      <c r="H5" s="35">
        <v>63826</v>
      </c>
      <c r="I5" s="35">
        <v>71939</v>
      </c>
      <c r="J5" s="36">
        <v>68046</v>
      </c>
      <c r="K5" s="36">
        <v>70500</v>
      </c>
      <c r="L5" s="36">
        <v>73916</v>
      </c>
      <c r="M5" s="36">
        <v>76642</v>
      </c>
      <c r="N5" s="36">
        <v>76288</v>
      </c>
      <c r="O5" s="36">
        <v>78262</v>
      </c>
    </row>
    <row r="6" spans="1:16" x14ac:dyDescent="0.3">
      <c r="A6" s="3" t="s">
        <v>4</v>
      </c>
      <c r="B6" s="35">
        <v>63296</v>
      </c>
      <c r="C6" s="35">
        <v>64655</v>
      </c>
      <c r="D6" s="35">
        <v>65965</v>
      </c>
      <c r="E6" s="35">
        <v>60625</v>
      </c>
      <c r="F6" s="35">
        <v>67395</v>
      </c>
      <c r="G6" s="35">
        <v>66181</v>
      </c>
      <c r="H6" s="35">
        <v>67685</v>
      </c>
      <c r="I6" s="35">
        <v>68620</v>
      </c>
      <c r="J6" s="36">
        <v>69086</v>
      </c>
      <c r="K6" s="36">
        <v>71760</v>
      </c>
      <c r="L6" s="36">
        <v>72007</v>
      </c>
      <c r="M6" s="36">
        <v>73010</v>
      </c>
      <c r="N6" s="36">
        <v>74414</v>
      </c>
      <c r="O6" s="36">
        <v>77037</v>
      </c>
    </row>
    <row r="7" spans="1:16" x14ac:dyDescent="0.3">
      <c r="A7" s="3" t="s">
        <v>5</v>
      </c>
      <c r="B7" s="35">
        <v>79211</v>
      </c>
      <c r="C7" s="35">
        <v>84954</v>
      </c>
      <c r="D7" s="35">
        <v>85408</v>
      </c>
      <c r="E7" s="35">
        <v>76072</v>
      </c>
      <c r="F7" s="35">
        <v>99041</v>
      </c>
      <c r="G7" s="35">
        <v>97814</v>
      </c>
      <c r="H7" s="35">
        <v>94375</v>
      </c>
      <c r="I7" s="35">
        <v>87348</v>
      </c>
      <c r="J7" s="36">
        <v>85647</v>
      </c>
      <c r="K7" s="36">
        <v>82291</v>
      </c>
      <c r="L7" s="36">
        <v>82164</v>
      </c>
      <c r="M7" s="36">
        <v>82069</v>
      </c>
      <c r="N7" s="36">
        <v>82762</v>
      </c>
      <c r="O7" s="36">
        <v>81524</v>
      </c>
    </row>
    <row r="8" spans="1:16" x14ac:dyDescent="0.3">
      <c r="A8" s="1" t="s">
        <v>6</v>
      </c>
      <c r="B8" s="35">
        <v>337595</v>
      </c>
      <c r="C8" s="35">
        <v>358032</v>
      </c>
      <c r="D8" s="35">
        <v>368705</v>
      </c>
      <c r="E8" s="35">
        <v>349440</v>
      </c>
      <c r="F8" s="35">
        <v>377048</v>
      </c>
      <c r="G8" s="35">
        <v>381452</v>
      </c>
      <c r="H8" s="35">
        <v>384583</v>
      </c>
      <c r="I8" s="35">
        <f t="shared" ref="I8:O8" si="0">SUM(I3:I7)</f>
        <v>379207</v>
      </c>
      <c r="J8" s="35">
        <f t="shared" si="0"/>
        <v>380639</v>
      </c>
      <c r="K8" s="35">
        <f t="shared" si="0"/>
        <v>381453</v>
      </c>
      <c r="L8" s="35">
        <f t="shared" si="0"/>
        <v>383060</v>
      </c>
      <c r="M8" s="35">
        <f t="shared" si="0"/>
        <v>384400</v>
      </c>
      <c r="N8" s="35">
        <f t="shared" si="0"/>
        <v>385026</v>
      </c>
      <c r="O8" s="35">
        <f t="shared" si="0"/>
        <v>385324</v>
      </c>
    </row>
    <row r="9" spans="1:16" x14ac:dyDescent="0.3">
      <c r="A9" s="1"/>
      <c r="B9" s="1"/>
      <c r="C9" s="1"/>
      <c r="D9" s="1"/>
      <c r="E9" s="1"/>
      <c r="F9" s="1"/>
      <c r="G9" s="1"/>
      <c r="H9" s="1"/>
      <c r="I9" s="1"/>
    </row>
    <row r="10" spans="1:16" x14ac:dyDescent="0.3">
      <c r="A10" s="81" t="s">
        <v>70</v>
      </c>
      <c r="B10" s="81"/>
      <c r="C10" s="81"/>
      <c r="D10" s="81"/>
      <c r="E10" s="81"/>
      <c r="F10" s="81"/>
      <c r="G10" s="81"/>
      <c r="H10" s="81"/>
      <c r="I10" s="81"/>
      <c r="P10" t="s">
        <v>86</v>
      </c>
    </row>
    <row r="11" spans="1:16" x14ac:dyDescent="0.3">
      <c r="P11" s="22">
        <v>269942</v>
      </c>
    </row>
    <row r="12" spans="1:16" ht="19.8" x14ac:dyDescent="0.4">
      <c r="A12" s="82" t="s">
        <v>8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1:16" ht="18" thickBot="1" x14ac:dyDescent="0.4">
      <c r="A13" s="1" t="s">
        <v>0</v>
      </c>
      <c r="B13" s="2">
        <v>2006</v>
      </c>
      <c r="C13" s="2">
        <v>2007</v>
      </c>
      <c r="D13" s="2">
        <v>2008</v>
      </c>
      <c r="E13" s="2">
        <v>2009</v>
      </c>
      <c r="F13" s="2">
        <v>2010</v>
      </c>
      <c r="G13" s="2">
        <v>2011</v>
      </c>
      <c r="H13" s="2">
        <v>2012</v>
      </c>
      <c r="I13" s="2">
        <v>2013</v>
      </c>
      <c r="J13" s="2">
        <v>2014</v>
      </c>
      <c r="K13" s="2">
        <v>2015</v>
      </c>
      <c r="L13" s="2">
        <v>2016</v>
      </c>
      <c r="M13" s="2">
        <v>2017</v>
      </c>
      <c r="N13" s="2">
        <v>2018</v>
      </c>
      <c r="O13" s="2">
        <v>2019</v>
      </c>
    </row>
    <row r="14" spans="1:16" ht="16.2" thickTop="1" x14ac:dyDescent="0.3">
      <c r="A14" s="3" t="s">
        <v>1</v>
      </c>
      <c r="B14" s="4">
        <f>74869/921006</f>
        <v>8.1290458476926314E-2</v>
      </c>
      <c r="C14" s="4">
        <f>810%/100</f>
        <v>8.1000000000000003E-2</v>
      </c>
      <c r="D14" s="4">
        <v>8.3000000000000004E-2</v>
      </c>
      <c r="E14" s="4">
        <v>0.08</v>
      </c>
      <c r="F14" s="4">
        <v>7.3999999999999996E-2</v>
      </c>
      <c r="G14" s="4">
        <v>7.3999999999999996E-2</v>
      </c>
      <c r="H14" s="4">
        <v>7.1999999999999995E-2</v>
      </c>
      <c r="I14" s="4">
        <v>7.0000000000000007E-2</v>
      </c>
      <c r="J14" s="37">
        <v>6.9000000000000006E-2</v>
      </c>
      <c r="K14" s="38">
        <v>6.8000000000000005E-2</v>
      </c>
      <c r="L14" s="38">
        <v>6.6000000000000003E-2</v>
      </c>
      <c r="M14" s="38">
        <v>6.4000000000000001E-2</v>
      </c>
      <c r="N14" s="38">
        <f>N3/1248743</f>
        <v>6.2779130693825708E-2</v>
      </c>
      <c r="O14" s="38">
        <f>O3/1248743</f>
        <v>6.1477021292611851E-2</v>
      </c>
    </row>
    <row r="15" spans="1:16" x14ac:dyDescent="0.3">
      <c r="A15" s="3" t="s">
        <v>2</v>
      </c>
      <c r="B15" s="4">
        <f>63015/921006</f>
        <v>6.841974970847095E-2</v>
      </c>
      <c r="C15" s="4">
        <f>7.4/100</f>
        <v>7.400000000000001E-2</v>
      </c>
      <c r="D15" s="4">
        <v>7.0999999999999994E-2</v>
      </c>
      <c r="E15" s="4">
        <v>6.7000000000000004E-2</v>
      </c>
      <c r="F15" s="4">
        <v>7.0999999999999994E-2</v>
      </c>
      <c r="G15" s="4">
        <v>6.9000000000000006E-2</v>
      </c>
      <c r="H15" s="4">
        <v>7.2999999999999995E-2</v>
      </c>
      <c r="I15" s="4">
        <v>6.5000000000000002E-2</v>
      </c>
      <c r="J15" s="38">
        <v>6.9000000000000006E-2</v>
      </c>
      <c r="K15" s="38">
        <v>6.6000000000000003E-2</v>
      </c>
      <c r="L15" s="38">
        <v>6.3E-2</v>
      </c>
      <c r="M15" s="38">
        <v>0.06</v>
      </c>
      <c r="N15" s="38">
        <f t="shared" ref="N15:O18" si="1">N4/1248743</f>
        <v>5.8592520638754329E-2</v>
      </c>
      <c r="O15" s="38">
        <f t="shared" si="1"/>
        <v>5.7443365047892159E-2</v>
      </c>
    </row>
    <row r="16" spans="1:16" x14ac:dyDescent="0.3">
      <c r="A16" s="3" t="s">
        <v>3</v>
      </c>
      <c r="B16" s="4">
        <f>57204/921006</f>
        <v>6.2110344558015909E-2</v>
      </c>
      <c r="C16" s="4">
        <v>0.06</v>
      </c>
      <c r="D16" s="4">
        <v>6.4000000000000001E-2</v>
      </c>
      <c r="E16" s="4">
        <v>0.06</v>
      </c>
      <c r="F16" s="4">
        <v>0.06</v>
      </c>
      <c r="G16" s="4">
        <v>6.0999999999999999E-2</v>
      </c>
      <c r="H16" s="4">
        <v>5.8000000000000003E-2</v>
      </c>
      <c r="I16" s="4">
        <v>6.4000000000000001E-2</v>
      </c>
      <c r="J16" s="38">
        <v>5.8999999999999997E-2</v>
      </c>
      <c r="K16" s="38">
        <v>0.06</v>
      </c>
      <c r="L16" s="38">
        <v>6.2E-2</v>
      </c>
      <c r="M16" s="38">
        <v>6.2E-2</v>
      </c>
      <c r="N16" s="38">
        <f t="shared" si="1"/>
        <v>6.1091833948218328E-2</v>
      </c>
      <c r="O16" s="38">
        <f t="shared" si="1"/>
        <v>6.2672623590282389E-2</v>
      </c>
    </row>
    <row r="17" spans="1:16" x14ac:dyDescent="0.3">
      <c r="A17" s="3" t="s">
        <v>4</v>
      </c>
      <c r="B17" s="4">
        <f>63296/921006</f>
        <v>6.8724850869592596E-2</v>
      </c>
      <c r="C17" s="4">
        <v>6.6000000000000003E-2</v>
      </c>
      <c r="D17" s="4">
        <v>6.6000000000000003E-2</v>
      </c>
      <c r="E17" s="4">
        <v>5.8999999999999997E-2</v>
      </c>
      <c r="F17" s="4">
        <v>6.5000000000000002E-2</v>
      </c>
      <c r="G17" s="4">
        <v>6.2E-2</v>
      </c>
      <c r="H17" s="4">
        <v>6.2E-2</v>
      </c>
      <c r="I17" s="4">
        <v>6.0999999999999999E-2</v>
      </c>
      <c r="J17" s="38">
        <v>0.06</v>
      </c>
      <c r="K17" s="38">
        <v>6.0999999999999999E-2</v>
      </c>
      <c r="L17" s="38">
        <v>0.06</v>
      </c>
      <c r="M17" s="38">
        <v>0.06</v>
      </c>
      <c r="N17" s="38">
        <f t="shared" si="1"/>
        <v>5.9591124835134214E-2</v>
      </c>
      <c r="O17" s="38">
        <f t="shared" si="1"/>
        <v>6.1691637110278093E-2</v>
      </c>
    </row>
    <row r="18" spans="1:16" x14ac:dyDescent="0.3">
      <c r="A18" s="3" t="s">
        <v>5</v>
      </c>
      <c r="B18" s="4">
        <f>79211/921006</f>
        <v>8.6004868589346861E-2</v>
      </c>
      <c r="C18" s="4">
        <v>8.6999999999999994E-2</v>
      </c>
      <c r="D18" s="4">
        <v>8.5999999999999993E-2</v>
      </c>
      <c r="E18" s="4">
        <v>7.3999999999999996E-2</v>
      </c>
      <c r="F18" s="4">
        <v>9.6000000000000002E-2</v>
      </c>
      <c r="G18" s="4">
        <v>9.1999999999999998E-2</v>
      </c>
      <c r="H18" s="4">
        <v>8.5999999999999993E-2</v>
      </c>
      <c r="I18" s="4">
        <v>7.8E-2</v>
      </c>
      <c r="J18" s="38">
        <v>7.3999999999999996E-2</v>
      </c>
      <c r="K18" s="38">
        <v>7.0000000000000007E-2</v>
      </c>
      <c r="L18" s="38">
        <v>6.9000000000000006E-2</v>
      </c>
      <c r="M18" s="38">
        <v>6.7000000000000004E-2</v>
      </c>
      <c r="N18" s="38">
        <f t="shared" si="1"/>
        <v>6.6276247394379789E-2</v>
      </c>
      <c r="O18" s="38">
        <f t="shared" si="1"/>
        <v>6.5284850445608097E-2</v>
      </c>
    </row>
    <row r="19" spans="1:16" x14ac:dyDescent="0.3">
      <c r="A19" s="1" t="s">
        <v>6</v>
      </c>
      <c r="B19" s="4">
        <f>SUM(B14:B18)</f>
        <v>0.36655027220235259</v>
      </c>
      <c r="C19" s="4">
        <f t="shared" ref="C19:M19" si="2">SUM(C14:C18)</f>
        <v>0.36799999999999999</v>
      </c>
      <c r="D19" s="4">
        <f t="shared" si="2"/>
        <v>0.37</v>
      </c>
      <c r="E19" s="4">
        <f t="shared" si="2"/>
        <v>0.34</v>
      </c>
      <c r="F19" s="4">
        <f t="shared" si="2"/>
        <v>0.36599999999999999</v>
      </c>
      <c r="G19" s="4">
        <f t="shared" si="2"/>
        <v>0.35799999999999998</v>
      </c>
      <c r="H19" s="4">
        <f t="shared" si="2"/>
        <v>0.35099999999999998</v>
      </c>
      <c r="I19" s="4">
        <f t="shared" si="2"/>
        <v>0.33800000000000002</v>
      </c>
      <c r="J19" s="4">
        <f t="shared" si="2"/>
        <v>0.33100000000000002</v>
      </c>
      <c r="K19" s="4">
        <f t="shared" si="2"/>
        <v>0.32500000000000001</v>
      </c>
      <c r="L19" s="4">
        <f t="shared" si="2"/>
        <v>0.32</v>
      </c>
      <c r="M19" s="4">
        <f t="shared" si="2"/>
        <v>0.313</v>
      </c>
      <c r="N19" s="4">
        <f>SUM(N14:N18)</f>
        <v>0.30833085751031236</v>
      </c>
      <c r="O19" s="4">
        <f>SUM(O14:O18)</f>
        <v>0.30856949748667256</v>
      </c>
    </row>
    <row r="21" spans="1:16" x14ac:dyDescent="0.3">
      <c r="A21" s="3"/>
      <c r="P21" t="s">
        <v>86</v>
      </c>
    </row>
    <row r="22" spans="1:16" x14ac:dyDescent="0.3">
      <c r="P22" s="58">
        <v>0.21199999999999999</v>
      </c>
    </row>
    <row r="24" spans="1:16" x14ac:dyDescent="0.3">
      <c r="A24" t="s">
        <v>87</v>
      </c>
      <c r="I24" t="s">
        <v>14</v>
      </c>
    </row>
    <row r="28" spans="1:16" x14ac:dyDescent="0.3">
      <c r="H28" t="s">
        <v>85</v>
      </c>
    </row>
  </sheetData>
  <mergeCells count="3">
    <mergeCell ref="A10:I10"/>
    <mergeCell ref="A12:L12"/>
    <mergeCell ref="A1:L1"/>
  </mergeCells>
  <pageMargins left="0.75" right="0.75" top="1" bottom="1" header="0.5" footer="0.5"/>
  <pageSetup orientation="portrait" horizontalDpi="4294967292" verticalDpi="429496729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BAD7A-6BCE-412E-BC6C-60445FCD5FC5}">
  <dimension ref="A1:E62"/>
  <sheetViews>
    <sheetView zoomScale="96" zoomScaleNormal="96" workbookViewId="0">
      <selection activeCell="B9" sqref="B9"/>
    </sheetView>
  </sheetViews>
  <sheetFormatPr defaultColWidth="11.54296875" defaultRowHeight="15.6" x14ac:dyDescent="0.3"/>
  <cols>
    <col min="3" max="3" width="13.08984375" customWidth="1"/>
    <col min="5" max="5" width="28.6328125" customWidth="1"/>
  </cols>
  <sheetData>
    <row r="1" spans="1:5" x14ac:dyDescent="0.3">
      <c r="A1" s="83" t="s">
        <v>120</v>
      </c>
      <c r="B1" s="83"/>
      <c r="C1" s="83"/>
      <c r="D1" s="83"/>
      <c r="E1" s="83"/>
    </row>
    <row r="2" spans="1:5" x14ac:dyDescent="0.3">
      <c r="A2" t="s">
        <v>14</v>
      </c>
      <c r="B2" t="s">
        <v>9</v>
      </c>
      <c r="C2" t="s">
        <v>12</v>
      </c>
      <c r="D2" t="s">
        <v>48</v>
      </c>
      <c r="E2" t="s">
        <v>10</v>
      </c>
    </row>
    <row r="3" spans="1:5" x14ac:dyDescent="0.3">
      <c r="A3">
        <v>2007</v>
      </c>
      <c r="B3" s="6">
        <v>0.34100000000000003</v>
      </c>
      <c r="C3" s="6">
        <v>0.29799999999999999</v>
      </c>
      <c r="D3" s="6">
        <v>5.0999999999999997E-2</v>
      </c>
      <c r="E3" s="6"/>
    </row>
    <row r="4" spans="1:5" x14ac:dyDescent="0.3">
      <c r="A4">
        <v>2008</v>
      </c>
      <c r="B4" s="6">
        <v>0.42699999999999999</v>
      </c>
      <c r="C4" s="6">
        <v>0.27600000000000002</v>
      </c>
      <c r="D4" s="6">
        <v>5.5E-2</v>
      </c>
      <c r="E4" s="6"/>
    </row>
    <row r="5" spans="1:5" x14ac:dyDescent="0.3">
      <c r="A5">
        <v>2009</v>
      </c>
      <c r="B5" s="6">
        <v>0.29899999999999999</v>
      </c>
      <c r="C5" s="6">
        <v>0.39100000000000001</v>
      </c>
      <c r="D5" s="6">
        <v>5.5E-2</v>
      </c>
      <c r="E5" s="6"/>
    </row>
    <row r="6" spans="1:5" x14ac:dyDescent="0.3">
      <c r="A6">
        <v>2010</v>
      </c>
      <c r="B6" s="6">
        <v>0.38800000000000001</v>
      </c>
      <c r="C6" s="6">
        <v>0.4</v>
      </c>
      <c r="D6" s="6">
        <v>5.2999999999999999E-2</v>
      </c>
      <c r="E6" s="6"/>
    </row>
    <row r="7" spans="1:5" x14ac:dyDescent="0.3">
      <c r="A7">
        <v>2011</v>
      </c>
      <c r="B7" s="6">
        <v>0.35599999999999998</v>
      </c>
      <c r="C7" s="6">
        <v>0.41</v>
      </c>
      <c r="D7" s="6">
        <v>4.8000000000000001E-2</v>
      </c>
      <c r="E7" s="6"/>
    </row>
    <row r="8" spans="1:5" x14ac:dyDescent="0.3">
      <c r="A8">
        <v>2012</v>
      </c>
      <c r="B8" s="6">
        <v>0.44800000000000001</v>
      </c>
      <c r="C8" s="6">
        <v>0.40100000000000002</v>
      </c>
      <c r="D8" s="6">
        <v>7.8E-2</v>
      </c>
      <c r="E8" s="6"/>
    </row>
    <row r="9" spans="1:5" x14ac:dyDescent="0.3">
      <c r="A9">
        <v>2013</v>
      </c>
      <c r="B9" s="75">
        <v>0.27800000000000002</v>
      </c>
      <c r="C9" s="75">
        <v>0.34699999999999998</v>
      </c>
      <c r="D9" s="75">
        <v>0.06</v>
      </c>
      <c r="E9" s="76">
        <v>8.3000000000000004E-2</v>
      </c>
    </row>
    <row r="11" spans="1:5" x14ac:dyDescent="0.3">
      <c r="A11" t="s">
        <v>121</v>
      </c>
    </row>
    <row r="13" spans="1:5" x14ac:dyDescent="0.3">
      <c r="A13" t="s">
        <v>122</v>
      </c>
    </row>
    <row r="14" spans="1:5" x14ac:dyDescent="0.3">
      <c r="A14" t="s">
        <v>123</v>
      </c>
    </row>
    <row r="15" spans="1:5" x14ac:dyDescent="0.3">
      <c r="A15" t="s">
        <v>124</v>
      </c>
    </row>
    <row r="29" spans="1:5" ht="46.8" x14ac:dyDescent="0.3">
      <c r="A29" t="s">
        <v>125</v>
      </c>
      <c r="B29" t="s">
        <v>11</v>
      </c>
      <c r="C29" t="s">
        <v>49</v>
      </c>
      <c r="D29" s="77" t="s">
        <v>126</v>
      </c>
      <c r="E29" s="77" t="s">
        <v>127</v>
      </c>
    </row>
    <row r="30" spans="1:5" x14ac:dyDescent="0.3">
      <c r="A30">
        <v>2007</v>
      </c>
      <c r="B30" s="6">
        <v>0.29799999999999999</v>
      </c>
      <c r="C30" s="6">
        <v>4.7E-2</v>
      </c>
      <c r="D30" s="74">
        <f>B30-C30</f>
        <v>0.251</v>
      </c>
      <c r="E30" s="74">
        <f>B30+C30</f>
        <v>0.34499999999999997</v>
      </c>
    </row>
    <row r="31" spans="1:5" x14ac:dyDescent="0.3">
      <c r="A31">
        <v>2008</v>
      </c>
      <c r="B31" s="20">
        <v>0.27600000000000002</v>
      </c>
      <c r="C31" s="20">
        <v>4.3999999999999997E-2</v>
      </c>
      <c r="D31" s="74">
        <f t="shared" ref="D31:D36" si="0">B31-C31</f>
        <v>0.23200000000000004</v>
      </c>
      <c r="E31" s="74">
        <f t="shared" ref="E31:E36" si="1">B31+C31</f>
        <v>0.32</v>
      </c>
    </row>
    <row r="32" spans="1:5" x14ac:dyDescent="0.3">
      <c r="A32">
        <v>2009</v>
      </c>
      <c r="B32" s="20">
        <v>0.39100000000000001</v>
      </c>
      <c r="C32" s="20">
        <v>4.4999999999999998E-2</v>
      </c>
      <c r="D32" s="74">
        <f t="shared" si="0"/>
        <v>0.34600000000000003</v>
      </c>
      <c r="E32" s="74">
        <f t="shared" si="1"/>
        <v>0.436</v>
      </c>
    </row>
    <row r="33" spans="1:5" x14ac:dyDescent="0.3">
      <c r="A33">
        <v>2010</v>
      </c>
      <c r="B33" s="20">
        <v>0.4</v>
      </c>
      <c r="C33" s="20">
        <v>4.3999999999999997E-2</v>
      </c>
      <c r="D33" s="74">
        <f t="shared" si="0"/>
        <v>0.35600000000000004</v>
      </c>
      <c r="E33" s="74">
        <f t="shared" si="1"/>
        <v>0.44400000000000001</v>
      </c>
    </row>
    <row r="34" spans="1:5" x14ac:dyDescent="0.3">
      <c r="A34">
        <v>2011</v>
      </c>
      <c r="B34" s="20">
        <v>0.41</v>
      </c>
      <c r="C34" s="20">
        <v>5.8000000000000003E-2</v>
      </c>
      <c r="D34" s="74">
        <f t="shared" si="0"/>
        <v>0.35199999999999998</v>
      </c>
      <c r="E34" s="74">
        <f t="shared" si="1"/>
        <v>0.46799999999999997</v>
      </c>
    </row>
    <row r="35" spans="1:5" x14ac:dyDescent="0.3">
      <c r="A35">
        <v>2012</v>
      </c>
      <c r="B35" s="20">
        <v>0.40100000000000002</v>
      </c>
      <c r="C35" s="20">
        <v>4.2999999999999997E-2</v>
      </c>
      <c r="D35" s="74">
        <f t="shared" si="0"/>
        <v>0.35800000000000004</v>
      </c>
      <c r="E35" s="74">
        <f t="shared" si="1"/>
        <v>0.44400000000000001</v>
      </c>
    </row>
    <row r="36" spans="1:5" x14ac:dyDescent="0.3">
      <c r="A36">
        <v>2013</v>
      </c>
      <c r="B36" s="76">
        <v>0.34699999999999998</v>
      </c>
      <c r="C36" s="76">
        <v>4.4999999999999998E-2</v>
      </c>
      <c r="D36" s="74">
        <f t="shared" si="0"/>
        <v>0.30199999999999999</v>
      </c>
      <c r="E36" s="74">
        <f t="shared" si="1"/>
        <v>0.39199999999999996</v>
      </c>
    </row>
    <row r="38" spans="1:5" ht="31.2" x14ac:dyDescent="0.3">
      <c r="A38" t="s">
        <v>125</v>
      </c>
      <c r="B38" t="s">
        <v>48</v>
      </c>
      <c r="C38" t="s">
        <v>49</v>
      </c>
      <c r="D38" s="77" t="s">
        <v>128</v>
      </c>
      <c r="E38" s="77" t="s">
        <v>129</v>
      </c>
    </row>
    <row r="39" spans="1:5" x14ac:dyDescent="0.3">
      <c r="A39">
        <v>2007</v>
      </c>
      <c r="B39" s="6">
        <v>5.0999999999999997E-2</v>
      </c>
      <c r="C39" s="6">
        <v>2.1000000000000001E-2</v>
      </c>
      <c r="D39" s="74">
        <f>B39-C39</f>
        <v>2.9999999999999995E-2</v>
      </c>
      <c r="E39" s="74">
        <f>B39+C39</f>
        <v>7.1999999999999995E-2</v>
      </c>
    </row>
    <row r="40" spans="1:5" x14ac:dyDescent="0.3">
      <c r="A40">
        <v>2008</v>
      </c>
      <c r="B40" s="20">
        <v>5.5E-2</v>
      </c>
      <c r="C40" s="20">
        <v>2.1999999999999999E-2</v>
      </c>
      <c r="D40" s="74">
        <f t="shared" ref="D40:D45" si="2">B40-C40</f>
        <v>3.3000000000000002E-2</v>
      </c>
      <c r="E40" s="74">
        <f t="shared" ref="E40:E45" si="3">B40+C40</f>
        <v>7.6999999999999999E-2</v>
      </c>
    </row>
    <row r="41" spans="1:5" x14ac:dyDescent="0.3">
      <c r="A41">
        <v>2009</v>
      </c>
      <c r="B41" s="20">
        <v>5.5E-2</v>
      </c>
      <c r="C41" s="20">
        <v>1.7999999999999999E-2</v>
      </c>
      <c r="D41" s="74">
        <f t="shared" si="2"/>
        <v>3.7000000000000005E-2</v>
      </c>
      <c r="E41" s="74">
        <f t="shared" si="3"/>
        <v>7.2999999999999995E-2</v>
      </c>
    </row>
    <row r="42" spans="1:5" x14ac:dyDescent="0.3">
      <c r="A42">
        <v>2010</v>
      </c>
      <c r="B42" s="20">
        <v>5.2999999999999999E-2</v>
      </c>
      <c r="C42" s="20">
        <v>1.4999999999999999E-2</v>
      </c>
      <c r="D42" s="74">
        <f t="shared" si="2"/>
        <v>3.7999999999999999E-2</v>
      </c>
      <c r="E42" s="74">
        <f t="shared" si="3"/>
        <v>6.8000000000000005E-2</v>
      </c>
    </row>
    <row r="43" spans="1:5" x14ac:dyDescent="0.3">
      <c r="A43">
        <v>2011</v>
      </c>
      <c r="B43" s="20">
        <v>4.8000000000000001E-2</v>
      </c>
      <c r="C43" s="20">
        <v>0.02</v>
      </c>
      <c r="D43" s="74">
        <f t="shared" si="2"/>
        <v>2.8000000000000001E-2</v>
      </c>
      <c r="E43" s="74">
        <f t="shared" si="3"/>
        <v>6.8000000000000005E-2</v>
      </c>
    </row>
    <row r="44" spans="1:5" x14ac:dyDescent="0.3">
      <c r="A44">
        <v>2012</v>
      </c>
      <c r="B44" s="20">
        <v>7.8E-2</v>
      </c>
      <c r="C44" s="20">
        <v>2.5000000000000001E-2</v>
      </c>
      <c r="D44" s="74">
        <f t="shared" si="2"/>
        <v>5.2999999999999999E-2</v>
      </c>
      <c r="E44" s="74">
        <f t="shared" si="3"/>
        <v>0.10300000000000001</v>
      </c>
    </row>
    <row r="45" spans="1:5" x14ac:dyDescent="0.3">
      <c r="A45">
        <v>2013</v>
      </c>
      <c r="B45" s="76">
        <v>5.8000000000000003E-2</v>
      </c>
      <c r="C45" s="76">
        <v>1.4999999999999999E-2</v>
      </c>
      <c r="D45" s="74">
        <f t="shared" si="2"/>
        <v>4.3000000000000003E-2</v>
      </c>
      <c r="E45" s="74">
        <f t="shared" si="3"/>
        <v>7.3000000000000009E-2</v>
      </c>
    </row>
    <row r="47" spans="1:5" ht="31.2" x14ac:dyDescent="0.3">
      <c r="A47" t="s">
        <v>125</v>
      </c>
      <c r="B47" s="77" t="s">
        <v>9</v>
      </c>
      <c r="C47" t="s">
        <v>49</v>
      </c>
      <c r="D47" s="77" t="s">
        <v>130</v>
      </c>
      <c r="E47" s="77" t="s">
        <v>131</v>
      </c>
    </row>
    <row r="48" spans="1:5" x14ac:dyDescent="0.3">
      <c r="A48">
        <v>2007</v>
      </c>
      <c r="B48" s="74">
        <v>0.34100000000000003</v>
      </c>
      <c r="C48" s="74">
        <v>0.11700000000000001</v>
      </c>
      <c r="D48" s="74">
        <f>B48-C48</f>
        <v>0.22400000000000003</v>
      </c>
      <c r="E48" s="74">
        <f>B48+C48</f>
        <v>0.45800000000000002</v>
      </c>
    </row>
    <row r="49" spans="1:5" x14ac:dyDescent="0.3">
      <c r="A49">
        <v>2008</v>
      </c>
      <c r="B49" s="20">
        <v>0.42699999999999999</v>
      </c>
      <c r="C49" s="20">
        <v>9.5000000000000001E-2</v>
      </c>
      <c r="D49" s="74">
        <f t="shared" ref="D49:D54" si="4">B49-C49</f>
        <v>0.33199999999999996</v>
      </c>
      <c r="E49" s="74">
        <f t="shared" ref="E49:E54" si="5">B49+C49</f>
        <v>0.52200000000000002</v>
      </c>
    </row>
    <row r="50" spans="1:5" x14ac:dyDescent="0.3">
      <c r="A50">
        <v>2009</v>
      </c>
      <c r="B50" s="20">
        <v>0.29899999999999999</v>
      </c>
      <c r="C50" s="20">
        <v>0.105</v>
      </c>
      <c r="D50" s="74">
        <f t="shared" si="4"/>
        <v>0.19400000000000001</v>
      </c>
      <c r="E50" s="74">
        <f t="shared" si="5"/>
        <v>0.40399999999999997</v>
      </c>
    </row>
    <row r="51" spans="1:5" x14ac:dyDescent="0.3">
      <c r="A51">
        <v>2010</v>
      </c>
      <c r="B51" s="20">
        <v>0.38800000000000001</v>
      </c>
      <c r="C51" s="20">
        <v>0.104</v>
      </c>
      <c r="D51" s="74">
        <f t="shared" si="4"/>
        <v>0.28400000000000003</v>
      </c>
      <c r="E51" s="74">
        <f t="shared" si="5"/>
        <v>0.49199999999999999</v>
      </c>
    </row>
    <row r="52" spans="1:5" x14ac:dyDescent="0.3">
      <c r="A52">
        <v>2011</v>
      </c>
      <c r="B52" s="20">
        <v>0.35599999999999998</v>
      </c>
      <c r="C52" s="20">
        <v>0.109</v>
      </c>
      <c r="D52" s="74">
        <f t="shared" si="4"/>
        <v>0.247</v>
      </c>
      <c r="E52" s="74">
        <f t="shared" si="5"/>
        <v>0.46499999999999997</v>
      </c>
    </row>
    <row r="53" spans="1:5" x14ac:dyDescent="0.3">
      <c r="A53">
        <v>2012</v>
      </c>
      <c r="B53" s="20">
        <v>0.44800000000000001</v>
      </c>
      <c r="C53" s="20">
        <v>0.123</v>
      </c>
      <c r="D53" s="74">
        <f t="shared" si="4"/>
        <v>0.32500000000000001</v>
      </c>
      <c r="E53" s="74">
        <f t="shared" si="5"/>
        <v>0.57099999999999995</v>
      </c>
    </row>
    <row r="54" spans="1:5" x14ac:dyDescent="0.3">
      <c r="A54">
        <v>2013</v>
      </c>
      <c r="B54" s="76">
        <v>0.27800000000000002</v>
      </c>
      <c r="C54" s="76">
        <v>9.0999999999999998E-2</v>
      </c>
      <c r="D54" s="74">
        <f t="shared" si="4"/>
        <v>0.18700000000000003</v>
      </c>
      <c r="E54" s="74">
        <f t="shared" si="5"/>
        <v>0.36899999999999999</v>
      </c>
    </row>
    <row r="56" spans="1:5" ht="31.2" x14ac:dyDescent="0.3">
      <c r="A56" t="s">
        <v>125</v>
      </c>
      <c r="B56" s="77" t="s">
        <v>10</v>
      </c>
      <c r="C56" t="s">
        <v>49</v>
      </c>
      <c r="D56" s="77" t="s">
        <v>132</v>
      </c>
      <c r="E56" s="77" t="s">
        <v>133</v>
      </c>
    </row>
    <row r="57" spans="1:5" x14ac:dyDescent="0.3">
      <c r="A57">
        <v>2008</v>
      </c>
      <c r="B57" s="21"/>
      <c r="C57" s="21"/>
      <c r="D57" s="21"/>
      <c r="E57" s="21"/>
    </row>
    <row r="58" spans="1:5" x14ac:dyDescent="0.3">
      <c r="A58">
        <v>2009</v>
      </c>
      <c r="B58" s="21"/>
      <c r="C58" s="21"/>
      <c r="D58" s="21"/>
      <c r="E58" s="21"/>
    </row>
    <row r="59" spans="1:5" x14ac:dyDescent="0.3">
      <c r="A59">
        <v>2010</v>
      </c>
      <c r="B59" s="21"/>
      <c r="C59" s="21"/>
      <c r="D59" s="21"/>
      <c r="E59" s="21"/>
    </row>
    <row r="60" spans="1:5" x14ac:dyDescent="0.3">
      <c r="A60">
        <v>2011</v>
      </c>
      <c r="B60" s="21"/>
      <c r="C60" s="21"/>
      <c r="D60" s="21"/>
      <c r="E60" s="21"/>
    </row>
    <row r="61" spans="1:5" x14ac:dyDescent="0.3">
      <c r="A61">
        <v>2012</v>
      </c>
      <c r="B61" s="21"/>
      <c r="C61" s="21"/>
      <c r="D61" s="21"/>
      <c r="E61" s="21"/>
    </row>
    <row r="62" spans="1:5" x14ac:dyDescent="0.3">
      <c r="A62">
        <v>2013</v>
      </c>
      <c r="B62" s="76">
        <v>8.3000000000000004E-2</v>
      </c>
      <c r="C62" s="76">
        <v>5.6000000000000001E-2</v>
      </c>
      <c r="D62" s="74">
        <f t="shared" ref="D62" si="6">B62-C62</f>
        <v>2.7000000000000003E-2</v>
      </c>
      <c r="E62" s="74">
        <f t="shared" ref="E62" si="7">B62+C62</f>
        <v>0.13900000000000001</v>
      </c>
    </row>
  </sheetData>
  <mergeCells count="1">
    <mergeCell ref="A1:E1"/>
  </mergeCells>
  <pageMargins left="0.75" right="0.75" top="1" bottom="1" header="0.5" footer="0.5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A172"/>
  <sheetViews>
    <sheetView zoomScale="53" zoomScaleNormal="53" workbookViewId="0">
      <selection activeCell="AA6" sqref="AA6"/>
    </sheetView>
  </sheetViews>
  <sheetFormatPr defaultColWidth="8.81640625" defaultRowHeight="14.4" x14ac:dyDescent="0.3"/>
  <cols>
    <col min="1" max="1" width="15.6328125" style="39" customWidth="1"/>
    <col min="2" max="2" width="9.36328125" style="39" customWidth="1"/>
    <col min="3" max="3" width="11.36328125" style="39" customWidth="1"/>
    <col min="4" max="19" width="8.81640625" style="39"/>
    <col min="20" max="20" width="9.36328125" style="39" bestFit="1" customWidth="1"/>
    <col min="21" max="16384" width="8.81640625" style="39"/>
  </cols>
  <sheetData>
    <row r="2" spans="1:27" x14ac:dyDescent="0.3">
      <c r="A2" s="47" t="s">
        <v>15</v>
      </c>
      <c r="B2" s="39">
        <v>2019</v>
      </c>
    </row>
    <row r="3" spans="1:27" x14ac:dyDescent="0.3">
      <c r="A3" s="47"/>
    </row>
    <row r="4" spans="1:27" x14ac:dyDescent="0.3">
      <c r="A4" s="47" t="s">
        <v>83</v>
      </c>
    </row>
    <row r="5" spans="1:27" x14ac:dyDescent="0.3">
      <c r="A5" s="47"/>
      <c r="B5" s="39" t="s">
        <v>40</v>
      </c>
      <c r="C5" s="39" t="s">
        <v>41</v>
      </c>
      <c r="H5" s="39" t="s">
        <v>83</v>
      </c>
      <c r="I5" s="39" t="s">
        <v>39</v>
      </c>
      <c r="J5" s="39" t="s">
        <v>45</v>
      </c>
      <c r="K5" s="39" t="s">
        <v>46</v>
      </c>
    </row>
    <row r="6" spans="1:27" ht="15.6" x14ac:dyDescent="0.3">
      <c r="A6" s="46" t="s">
        <v>82</v>
      </c>
      <c r="B6" s="48">
        <v>4182</v>
      </c>
      <c r="C6" s="49">
        <f>B6/B12</f>
        <v>5.4475113652646248E-2</v>
      </c>
      <c r="D6"/>
      <c r="E6"/>
      <c r="F6"/>
      <c r="G6" t="s">
        <v>10</v>
      </c>
      <c r="H6" s="21">
        <f>C6</f>
        <v>5.4475113652646248E-2</v>
      </c>
      <c r="I6" s="21">
        <f>C16</f>
        <v>5.514517933482007E-2</v>
      </c>
      <c r="J6" s="21">
        <f>C27</f>
        <v>7.531095138890477E-2</v>
      </c>
      <c r="K6" s="21">
        <f>C38</f>
        <v>5.0719263276626646E-2</v>
      </c>
    </row>
    <row r="7" spans="1:27" ht="15.6" x14ac:dyDescent="0.3">
      <c r="A7" s="46" t="s">
        <v>78</v>
      </c>
      <c r="B7" s="48">
        <v>6052</v>
      </c>
      <c r="C7" s="49">
        <f>B7/B12</f>
        <v>7.8833904310333602E-2</v>
      </c>
      <c r="D7"/>
      <c r="E7"/>
      <c r="F7"/>
      <c r="G7" t="s">
        <v>9</v>
      </c>
      <c r="H7" s="21">
        <f>C7</f>
        <v>7.8833904310333602E-2</v>
      </c>
      <c r="I7" s="21">
        <f>C17</f>
        <v>7.6649798845677963E-2</v>
      </c>
      <c r="J7" s="21">
        <f>C28</f>
        <v>8.4110664163352666E-2</v>
      </c>
      <c r="K7" s="21">
        <f>C39</f>
        <v>7.5789180920595195E-2</v>
      </c>
    </row>
    <row r="8" spans="1:27" ht="15.6" x14ac:dyDescent="0.3">
      <c r="A8" s="46" t="s">
        <v>77</v>
      </c>
      <c r="B8" s="48">
        <v>35064</v>
      </c>
      <c r="C8" s="49">
        <f>B8/B12</f>
        <v>0.45674686396852898</v>
      </c>
      <c r="D8"/>
      <c r="E8"/>
      <c r="F8"/>
      <c r="G8" t="s">
        <v>11</v>
      </c>
      <c r="H8" s="21">
        <f>C8</f>
        <v>0.45674686396852898</v>
      </c>
      <c r="I8" s="21">
        <f>C18</f>
        <v>0.46026553852309016</v>
      </c>
      <c r="J8" s="21">
        <f>C29</f>
        <v>0.32123525282023019</v>
      </c>
      <c r="K8" s="21">
        <f>C40</f>
        <v>0.180642469753859</v>
      </c>
    </row>
    <row r="9" spans="1:27" ht="15.6" x14ac:dyDescent="0.3">
      <c r="A9" s="46" t="s">
        <v>76</v>
      </c>
      <c r="B9" s="48">
        <v>28414</v>
      </c>
      <c r="C9" s="49">
        <f>B9/B12</f>
        <v>0.37012335708423971</v>
      </c>
      <c r="D9"/>
      <c r="E9"/>
      <c r="F9"/>
      <c r="G9" t="s">
        <v>74</v>
      </c>
      <c r="H9" s="21">
        <f>C10</f>
        <v>3.9820760984251455E-2</v>
      </c>
      <c r="I9" s="21">
        <f>C20</f>
        <v>4.5472731179290363E-2</v>
      </c>
      <c r="J9" s="21">
        <f>C31</f>
        <v>2.141728430069954E-2</v>
      </c>
      <c r="K9" s="21">
        <f>C42</f>
        <v>1.0985954665554165E-2</v>
      </c>
    </row>
    <row r="10" spans="1:27" ht="15.6" x14ac:dyDescent="0.3">
      <c r="A10" s="46" t="s">
        <v>75</v>
      </c>
      <c r="B10" s="48">
        <v>3057</v>
      </c>
      <c r="C10" s="49">
        <f>B10/B12</f>
        <v>3.9820760984251455E-2</v>
      </c>
      <c r="D10"/>
      <c r="E10"/>
      <c r="F10"/>
      <c r="G10" t="s">
        <v>48</v>
      </c>
      <c r="H10" s="21">
        <f>C9</f>
        <v>0.37012335708423971</v>
      </c>
      <c r="I10" s="21">
        <f>C19</f>
        <v>0.36246675211712148</v>
      </c>
      <c r="J10" s="21">
        <f>C30</f>
        <v>0.49792584732681283</v>
      </c>
      <c r="K10" s="21">
        <f>C41</f>
        <v>0.68186313138336496</v>
      </c>
    </row>
    <row r="11" spans="1:27" ht="15.6" x14ac:dyDescent="0.3">
      <c r="A11" s="46"/>
      <c r="C11"/>
      <c r="D11"/>
      <c r="E11"/>
      <c r="F11"/>
      <c r="G11"/>
      <c r="H11"/>
      <c r="I11"/>
      <c r="J11"/>
      <c r="K11"/>
    </row>
    <row r="12" spans="1:27" ht="15.6" x14ac:dyDescent="0.3">
      <c r="A12" s="39" t="s">
        <v>6</v>
      </c>
      <c r="B12" s="40">
        <v>76769</v>
      </c>
      <c r="C12"/>
      <c r="D12"/>
      <c r="E12"/>
      <c r="F12"/>
      <c r="G12"/>
      <c r="H12"/>
      <c r="I12"/>
      <c r="J12"/>
      <c r="K12"/>
    </row>
    <row r="13" spans="1:27" x14ac:dyDescent="0.3">
      <c r="A13" s="47"/>
    </row>
    <row r="14" spans="1:27" x14ac:dyDescent="0.3">
      <c r="A14" s="47" t="s">
        <v>39</v>
      </c>
    </row>
    <row r="15" spans="1:27" x14ac:dyDescent="0.3">
      <c r="B15" s="39" t="s">
        <v>40</v>
      </c>
      <c r="C15" s="39" t="s">
        <v>41</v>
      </c>
    </row>
    <row r="16" spans="1:27" x14ac:dyDescent="0.3">
      <c r="A16" s="46" t="s">
        <v>82</v>
      </c>
      <c r="B16" s="40">
        <v>14886</v>
      </c>
      <c r="C16" s="45">
        <v>5.514517933482007E-2</v>
      </c>
      <c r="H16" s="39" t="s">
        <v>39</v>
      </c>
      <c r="I16" s="39" t="s">
        <v>45</v>
      </c>
      <c r="J16" s="39" t="s">
        <v>46</v>
      </c>
      <c r="L16" s="39" t="s">
        <v>6</v>
      </c>
      <c r="X16" s="39" t="s">
        <v>81</v>
      </c>
      <c r="Y16" s="39" t="s">
        <v>80</v>
      </c>
      <c r="Z16" s="39" t="s">
        <v>79</v>
      </c>
      <c r="AA16" s="39" t="s">
        <v>6</v>
      </c>
    </row>
    <row r="17" spans="1:12" x14ac:dyDescent="0.3">
      <c r="A17" s="46" t="s">
        <v>78</v>
      </c>
      <c r="B17" s="40">
        <v>20691</v>
      </c>
      <c r="C17" s="45">
        <v>7.6649798845677963E-2</v>
      </c>
      <c r="G17" s="39" t="s">
        <v>10</v>
      </c>
      <c r="H17" s="45">
        <v>5.514517933482007E-2</v>
      </c>
      <c r="I17" s="45">
        <v>7.531095138890477E-2</v>
      </c>
      <c r="J17" s="45">
        <v>5.0719263276626646E-2</v>
      </c>
      <c r="L17" s="39">
        <v>6.8539366413543967E-2</v>
      </c>
    </row>
    <row r="18" spans="1:12" x14ac:dyDescent="0.3">
      <c r="A18" s="46" t="s">
        <v>77</v>
      </c>
      <c r="B18" s="40">
        <v>124245</v>
      </c>
      <c r="C18" s="45">
        <v>0.46026553852309016</v>
      </c>
      <c r="G18" s="39" t="s">
        <v>9</v>
      </c>
      <c r="H18" s="45">
        <v>7.6649798845677963E-2</v>
      </c>
      <c r="I18" s="45">
        <v>8.4110664163352666E-2</v>
      </c>
      <c r="J18" s="45">
        <v>7.5789180920595195E-2</v>
      </c>
      <c r="L18" s="39">
        <v>8.1684268034795601E-2</v>
      </c>
    </row>
    <row r="19" spans="1:12" x14ac:dyDescent="0.3">
      <c r="A19" s="46" t="s">
        <v>76</v>
      </c>
      <c r="B19" s="40">
        <v>97845</v>
      </c>
      <c r="C19" s="45">
        <v>0.36246675211712148</v>
      </c>
      <c r="G19" s="39" t="s">
        <v>11</v>
      </c>
      <c r="H19" s="45">
        <v>0.46026553852309016</v>
      </c>
      <c r="I19" s="45">
        <v>0.32123525282023019</v>
      </c>
      <c r="J19" s="45">
        <v>0.180642469753859</v>
      </c>
      <c r="L19" s="39">
        <v>0.33641010585939524</v>
      </c>
    </row>
    <row r="20" spans="1:12" x14ac:dyDescent="0.3">
      <c r="A20" s="46" t="s">
        <v>75</v>
      </c>
      <c r="B20" s="40">
        <v>12275</v>
      </c>
      <c r="C20" s="45">
        <v>4.5472731179290363E-2</v>
      </c>
      <c r="G20" s="39" t="s">
        <v>74</v>
      </c>
      <c r="H20" s="41">
        <v>4.5472731179290363E-2</v>
      </c>
      <c r="I20" s="45">
        <v>2.141728430069954E-2</v>
      </c>
      <c r="J20" s="45">
        <v>1.0985954665554165E-2</v>
      </c>
      <c r="L20" s="39">
        <v>2.5454608251161345E-2</v>
      </c>
    </row>
    <row r="21" spans="1:12" x14ac:dyDescent="0.3">
      <c r="G21" s="39" t="s">
        <v>48</v>
      </c>
      <c r="H21" s="45">
        <v>0.36246675211712148</v>
      </c>
      <c r="I21" s="45">
        <v>0.49792584732681283</v>
      </c>
      <c r="J21" s="45">
        <v>0.68186313138336496</v>
      </c>
      <c r="L21" s="39">
        <v>0.48791165144110382</v>
      </c>
    </row>
    <row r="22" spans="1:12" x14ac:dyDescent="0.3">
      <c r="A22" s="39" t="s">
        <v>6</v>
      </c>
      <c r="B22" s="40">
        <v>269942</v>
      </c>
      <c r="H22" s="41"/>
    </row>
    <row r="25" spans="1:12" x14ac:dyDescent="0.3">
      <c r="A25" s="47" t="s">
        <v>45</v>
      </c>
    </row>
    <row r="27" spans="1:12" ht="28.8" x14ac:dyDescent="0.3">
      <c r="A27" s="46" t="s">
        <v>42</v>
      </c>
      <c r="B27" s="39">
        <v>65865</v>
      </c>
      <c r="C27" s="45">
        <v>7.531095138890477E-2</v>
      </c>
    </row>
    <row r="28" spans="1:12" ht="43.2" x14ac:dyDescent="0.3">
      <c r="A28" s="46" t="s">
        <v>43</v>
      </c>
      <c r="B28" s="40">
        <v>73561</v>
      </c>
      <c r="C28" s="45">
        <v>8.4110664163352666E-2</v>
      </c>
    </row>
    <row r="29" spans="1:12" x14ac:dyDescent="0.3">
      <c r="A29" s="46" t="s">
        <v>12</v>
      </c>
      <c r="B29" s="40">
        <v>280944</v>
      </c>
      <c r="C29" s="45">
        <v>0.32123525282023019</v>
      </c>
    </row>
    <row r="30" spans="1:12" ht="28.8" x14ac:dyDescent="0.3">
      <c r="A30" s="46" t="s">
        <v>13</v>
      </c>
      <c r="B30" s="40">
        <v>435473</v>
      </c>
      <c r="C30" s="45">
        <v>0.49792584732681283</v>
      </c>
    </row>
    <row r="31" spans="1:12" ht="28.8" x14ac:dyDescent="0.3">
      <c r="A31" s="46" t="s">
        <v>44</v>
      </c>
      <c r="B31" s="40">
        <v>18731</v>
      </c>
      <c r="C31" s="45">
        <v>2.141728430069954E-2</v>
      </c>
    </row>
    <row r="33" spans="1:3" ht="15.6" x14ac:dyDescent="0.3">
      <c r="A33" s="39" t="s">
        <v>6</v>
      </c>
      <c r="B33" s="48">
        <v>874574</v>
      </c>
    </row>
    <row r="36" spans="1:3" x14ac:dyDescent="0.3">
      <c r="A36" s="47" t="s">
        <v>46</v>
      </c>
    </row>
    <row r="38" spans="1:3" ht="28.8" x14ac:dyDescent="0.3">
      <c r="A38" s="46" t="s">
        <v>42</v>
      </c>
      <c r="B38" s="40">
        <v>6565</v>
      </c>
      <c r="C38" s="45">
        <v>5.0719263276626646E-2</v>
      </c>
    </row>
    <row r="39" spans="1:3" ht="43.2" x14ac:dyDescent="0.3">
      <c r="A39" s="46" t="s">
        <v>43</v>
      </c>
      <c r="B39" s="40">
        <v>9810</v>
      </c>
      <c r="C39" s="45">
        <v>7.5789180920595195E-2</v>
      </c>
    </row>
    <row r="40" spans="1:3" x14ac:dyDescent="0.3">
      <c r="A40" s="46" t="s">
        <v>12</v>
      </c>
      <c r="B40" s="40">
        <v>23382</v>
      </c>
      <c r="C40" s="45">
        <v>0.180642469753859</v>
      </c>
    </row>
    <row r="41" spans="1:3" ht="28.8" x14ac:dyDescent="0.3">
      <c r="A41" s="46" t="s">
        <v>13</v>
      </c>
      <c r="B41" s="40">
        <v>88259</v>
      </c>
      <c r="C41" s="45">
        <v>0.68186313138336496</v>
      </c>
    </row>
    <row r="42" spans="1:3" ht="28.8" x14ac:dyDescent="0.3">
      <c r="A42" s="46" t="s">
        <v>44</v>
      </c>
      <c r="B42" s="40">
        <v>1422</v>
      </c>
      <c r="C42" s="45">
        <v>1.0985954665554165E-2</v>
      </c>
    </row>
    <row r="44" spans="1:3" x14ac:dyDescent="0.3">
      <c r="A44" s="39" t="s">
        <v>6</v>
      </c>
      <c r="B44" s="40">
        <v>129438</v>
      </c>
    </row>
    <row r="47" spans="1:3" x14ac:dyDescent="0.3">
      <c r="A47" s="47" t="s">
        <v>47</v>
      </c>
    </row>
    <row r="49" spans="1:11" x14ac:dyDescent="0.3">
      <c r="A49" s="46" t="s">
        <v>10</v>
      </c>
      <c r="B49" s="45">
        <f>C49/$C$55</f>
        <v>6.8539366413543967E-2</v>
      </c>
      <c r="C49" s="40">
        <f>SUM(B16,B27,B38)</f>
        <v>87316</v>
      </c>
    </row>
    <row r="50" spans="1:11" x14ac:dyDescent="0.3">
      <c r="A50" s="46" t="s">
        <v>9</v>
      </c>
      <c r="B50" s="45">
        <f>C50/$C$55</f>
        <v>8.1684268034795601E-2</v>
      </c>
      <c r="C50" s="40">
        <f>SUM(B17,B28,B39)</f>
        <v>104062</v>
      </c>
    </row>
    <row r="51" spans="1:11" x14ac:dyDescent="0.3">
      <c r="A51" s="46" t="s">
        <v>11</v>
      </c>
      <c r="B51" s="45">
        <f>C51/$C$55</f>
        <v>0.33641010585939524</v>
      </c>
      <c r="C51" s="40">
        <f>SUM(B18,B29,B40)</f>
        <v>428571</v>
      </c>
    </row>
    <row r="52" spans="1:11" x14ac:dyDescent="0.3">
      <c r="A52" s="46" t="s">
        <v>48</v>
      </c>
      <c r="B52" s="45">
        <f>C52/$C$55</f>
        <v>0.48791165144110382</v>
      </c>
      <c r="C52" s="40">
        <f>SUM(B19,B30,B41)</f>
        <v>621577</v>
      </c>
    </row>
    <row r="53" spans="1:11" x14ac:dyDescent="0.3">
      <c r="A53" s="44" t="s">
        <v>74</v>
      </c>
      <c r="B53" s="43">
        <f>C53/$C$55</f>
        <v>2.5454608251161345E-2</v>
      </c>
      <c r="C53" s="42">
        <f>B55-(C52+C51+C50+C49)</f>
        <v>32428</v>
      </c>
    </row>
    <row r="54" spans="1:11" x14ac:dyDescent="0.3">
      <c r="B54" s="41"/>
    </row>
    <row r="55" spans="1:11" x14ac:dyDescent="0.3">
      <c r="A55" s="39" t="s">
        <v>6</v>
      </c>
      <c r="B55" s="40">
        <f>SUM(B22,B33,B44)</f>
        <v>1273954</v>
      </c>
      <c r="C55" s="40">
        <f>B55</f>
        <v>1273954</v>
      </c>
    </row>
    <row r="57" spans="1:11" x14ac:dyDescent="0.3">
      <c r="A57" s="55" t="s">
        <v>73</v>
      </c>
    </row>
    <row r="58" spans="1:11" x14ac:dyDescent="0.3">
      <c r="A58" s="55"/>
    </row>
    <row r="59" spans="1:11" x14ac:dyDescent="0.3">
      <c r="A59" s="55"/>
    </row>
    <row r="60" spans="1:11" x14ac:dyDescent="0.3">
      <c r="A60" s="55"/>
    </row>
    <row r="61" spans="1:11" ht="18" customHeight="1" x14ac:dyDescent="0.3">
      <c r="A61" s="47" t="s">
        <v>15</v>
      </c>
      <c r="B61" s="39">
        <v>2018</v>
      </c>
    </row>
    <row r="62" spans="1:11" x14ac:dyDescent="0.3">
      <c r="A62" s="47"/>
    </row>
    <row r="63" spans="1:11" x14ac:dyDescent="0.3">
      <c r="A63" s="47" t="s">
        <v>83</v>
      </c>
    </row>
    <row r="64" spans="1:11" x14ac:dyDescent="0.3">
      <c r="A64" s="47"/>
      <c r="B64" s="39" t="s">
        <v>40</v>
      </c>
      <c r="C64" s="39" t="s">
        <v>41</v>
      </c>
      <c r="H64" s="39" t="s">
        <v>83</v>
      </c>
      <c r="I64" s="39" t="s">
        <v>39</v>
      </c>
      <c r="J64" s="39" t="s">
        <v>45</v>
      </c>
      <c r="K64" s="39" t="s">
        <v>46</v>
      </c>
    </row>
    <row r="65" spans="1:11" ht="15.6" x14ac:dyDescent="0.3">
      <c r="A65" s="46" t="s">
        <v>82</v>
      </c>
      <c r="B65" s="48">
        <v>4158</v>
      </c>
      <c r="C65" s="49">
        <f>B65/B71</f>
        <v>5.3039096881178645E-2</v>
      </c>
      <c r="G65" s="39" t="s">
        <v>10</v>
      </c>
      <c r="H65" s="41">
        <f>C65</f>
        <v>5.3039096881178645E-2</v>
      </c>
      <c r="I65" s="41">
        <f>C75</f>
        <v>5.6460276652021545E-2</v>
      </c>
      <c r="J65" s="41">
        <f>C86</f>
        <v>7.5129148591199832E-2</v>
      </c>
      <c r="K65" s="41">
        <f>C97</f>
        <v>4.8169780126392558E-2</v>
      </c>
    </row>
    <row r="66" spans="1:11" ht="15.6" x14ac:dyDescent="0.3">
      <c r="A66" s="46" t="s">
        <v>78</v>
      </c>
      <c r="B66" s="48">
        <v>6844</v>
      </c>
      <c r="C66" s="49">
        <f>B66/B71</f>
        <v>8.7301486064162256E-2</v>
      </c>
      <c r="G66" s="39" t="s">
        <v>9</v>
      </c>
      <c r="H66" s="41">
        <f>C66</f>
        <v>8.7301486064162256E-2</v>
      </c>
      <c r="I66" s="41">
        <f>C76</f>
        <v>9.2749553607812049E-2</v>
      </c>
      <c r="J66" s="41">
        <f>C87</f>
        <v>7.9583888841881875E-2</v>
      </c>
      <c r="K66" s="41">
        <f>C98</f>
        <v>7.3533274617963815E-2</v>
      </c>
    </row>
    <row r="67" spans="1:11" ht="15.6" x14ac:dyDescent="0.3">
      <c r="A67" s="46" t="s">
        <v>77</v>
      </c>
      <c r="B67" s="48">
        <v>36152</v>
      </c>
      <c r="C67" s="49">
        <f>B67/B71</f>
        <v>0.46115185917469226</v>
      </c>
      <c r="G67" s="39" t="s">
        <v>11</v>
      </c>
      <c r="H67" s="41">
        <f>C67</f>
        <v>0.46115185917469226</v>
      </c>
      <c r="I67" s="41">
        <f>C77</f>
        <v>0.46609271621311243</v>
      </c>
      <c r="J67" s="41">
        <f>C88</f>
        <v>0.31452455709865601</v>
      </c>
      <c r="K67" s="41">
        <f>C99</f>
        <v>0.16923160122993247</v>
      </c>
    </row>
    <row r="68" spans="1:11" ht="15.6" x14ac:dyDescent="0.3">
      <c r="A68" s="46" t="s">
        <v>76</v>
      </c>
      <c r="B68" s="48">
        <v>28360</v>
      </c>
      <c r="C68" s="49">
        <f>B68/B71</f>
        <v>0.36175776516359459</v>
      </c>
      <c r="G68" s="39" t="s">
        <v>74</v>
      </c>
      <c r="H68" s="41">
        <f>C69</f>
        <v>3.6749792716372215E-2</v>
      </c>
      <c r="I68" s="41">
        <f>C79</f>
        <v>2.9221091938268221E-2</v>
      </c>
      <c r="J68" s="41">
        <f>C90</f>
        <v>1.9280243867299967E-2</v>
      </c>
      <c r="K68" s="41">
        <f>C101</f>
        <v>5.6652605880807796E-2</v>
      </c>
    </row>
    <row r="69" spans="1:11" ht="15.6" x14ac:dyDescent="0.3">
      <c r="A69" s="46" t="s">
        <v>75</v>
      </c>
      <c r="B69" s="48">
        <v>2881</v>
      </c>
      <c r="C69" s="49">
        <f>B69/B71</f>
        <v>3.6749792716372215E-2</v>
      </c>
      <c r="G69" s="39" t="s">
        <v>48</v>
      </c>
      <c r="H69" s="41">
        <f>C68</f>
        <v>0.36175776516359459</v>
      </c>
      <c r="I69" s="41">
        <f>C78</f>
        <v>0.35767312978343496</v>
      </c>
      <c r="J69" s="41">
        <f>C89</f>
        <v>0.48884256792449809</v>
      </c>
      <c r="K69" s="41">
        <f>C100</f>
        <v>0.65303852037268806</v>
      </c>
    </row>
    <row r="70" spans="1:11" x14ac:dyDescent="0.3">
      <c r="A70" s="46"/>
    </row>
    <row r="71" spans="1:11" x14ac:dyDescent="0.3">
      <c r="A71" s="39" t="s">
        <v>6</v>
      </c>
      <c r="B71" s="40">
        <v>78395</v>
      </c>
    </row>
    <row r="72" spans="1:11" x14ac:dyDescent="0.3">
      <c r="A72" s="47"/>
    </row>
    <row r="73" spans="1:11" x14ac:dyDescent="0.3">
      <c r="A73" s="47" t="s">
        <v>39</v>
      </c>
    </row>
    <row r="74" spans="1:11" x14ac:dyDescent="0.3">
      <c r="B74" s="39" t="s">
        <v>40</v>
      </c>
      <c r="C74" s="39" t="s">
        <v>41</v>
      </c>
    </row>
    <row r="75" spans="1:11" x14ac:dyDescent="0.3">
      <c r="A75" s="46" t="s">
        <v>82</v>
      </c>
      <c r="B75" s="40">
        <v>15241</v>
      </c>
      <c r="C75" s="45">
        <f>B75/$B$22</f>
        <v>5.6460276652021545E-2</v>
      </c>
      <c r="H75" s="39" t="s">
        <v>39</v>
      </c>
      <c r="I75" s="39" t="s">
        <v>45</v>
      </c>
      <c r="J75" s="39" t="s">
        <v>46</v>
      </c>
    </row>
    <row r="76" spans="1:11" x14ac:dyDescent="0.3">
      <c r="A76" s="46" t="s">
        <v>78</v>
      </c>
      <c r="B76" s="40">
        <v>25037</v>
      </c>
      <c r="C76" s="45">
        <f>B76/$B$22</f>
        <v>9.2749553607812049E-2</v>
      </c>
      <c r="G76" s="39" t="s">
        <v>10</v>
      </c>
      <c r="H76" s="45">
        <f>C75</f>
        <v>5.6460276652021545E-2</v>
      </c>
      <c r="I76" s="45">
        <f>C86</f>
        <v>7.5129148591199832E-2</v>
      </c>
      <c r="J76" s="45">
        <f>C97</f>
        <v>4.8169780126392558E-2</v>
      </c>
    </row>
    <row r="77" spans="1:11" x14ac:dyDescent="0.3">
      <c r="A77" s="46" t="s">
        <v>77</v>
      </c>
      <c r="B77" s="40">
        <v>125818</v>
      </c>
      <c r="C77" s="45">
        <f>B77/$B$22</f>
        <v>0.46609271621311243</v>
      </c>
      <c r="G77" s="39" t="s">
        <v>9</v>
      </c>
      <c r="H77" s="45">
        <f>C76</f>
        <v>9.2749553607812049E-2</v>
      </c>
      <c r="I77" s="45">
        <f>C87</f>
        <v>7.9583888841881875E-2</v>
      </c>
      <c r="J77" s="45">
        <f>C98</f>
        <v>7.3533274617963815E-2</v>
      </c>
    </row>
    <row r="78" spans="1:11" x14ac:dyDescent="0.3">
      <c r="A78" s="46" t="s">
        <v>76</v>
      </c>
      <c r="B78" s="40">
        <v>96551</v>
      </c>
      <c r="C78" s="45">
        <f>B78/$B$22</f>
        <v>0.35767312978343496</v>
      </c>
      <c r="G78" s="39" t="s">
        <v>11</v>
      </c>
      <c r="H78" s="45">
        <f>C77</f>
        <v>0.46609271621311243</v>
      </c>
      <c r="I78" s="45">
        <f>C88</f>
        <v>0.31452455709865601</v>
      </c>
      <c r="J78" s="45">
        <f>C99</f>
        <v>0.16923160122993247</v>
      </c>
    </row>
    <row r="79" spans="1:11" x14ac:dyDescent="0.3">
      <c r="A79" s="46" t="s">
        <v>75</v>
      </c>
      <c r="B79" s="40">
        <v>7888</v>
      </c>
      <c r="C79" s="45">
        <f>B79/$B$22</f>
        <v>2.9221091938268221E-2</v>
      </c>
      <c r="G79" s="39" t="s">
        <v>74</v>
      </c>
      <c r="H79" s="41">
        <f>C79</f>
        <v>2.9221091938268221E-2</v>
      </c>
      <c r="I79" s="45">
        <f>C90</f>
        <v>1.9280243867299967E-2</v>
      </c>
      <c r="J79" s="45">
        <f>C101</f>
        <v>5.6652605880807796E-2</v>
      </c>
    </row>
    <row r="80" spans="1:11" x14ac:dyDescent="0.3">
      <c r="G80" s="39" t="s">
        <v>48</v>
      </c>
      <c r="H80" s="45">
        <f>C78</f>
        <v>0.35767312978343496</v>
      </c>
      <c r="I80" s="45">
        <f>C89</f>
        <v>0.48884256792449809</v>
      </c>
      <c r="J80" s="45">
        <f>C100</f>
        <v>0.65303852037268806</v>
      </c>
    </row>
    <row r="81" spans="1:8" x14ac:dyDescent="0.3">
      <c r="A81" s="39" t="s">
        <v>6</v>
      </c>
      <c r="B81" s="40">
        <v>270535</v>
      </c>
      <c r="H81" s="41"/>
    </row>
    <row r="84" spans="1:8" x14ac:dyDescent="0.3">
      <c r="A84" s="47" t="s">
        <v>45</v>
      </c>
    </row>
    <row r="86" spans="1:8" ht="28.8" x14ac:dyDescent="0.3">
      <c r="A86" s="46" t="s">
        <v>42</v>
      </c>
      <c r="B86" s="39">
        <v>65706</v>
      </c>
      <c r="C86" s="45">
        <f>B86/$B$33</f>
        <v>7.5129148591199832E-2</v>
      </c>
    </row>
    <row r="87" spans="1:8" ht="43.2" x14ac:dyDescent="0.3">
      <c r="A87" s="46" t="s">
        <v>43</v>
      </c>
      <c r="B87" s="40">
        <v>69602</v>
      </c>
      <c r="C87" s="45">
        <f>B87/$B$33</f>
        <v>7.9583888841881875E-2</v>
      </c>
    </row>
    <row r="88" spans="1:8" x14ac:dyDescent="0.3">
      <c r="A88" s="46" t="s">
        <v>12</v>
      </c>
      <c r="B88" s="40">
        <v>275075</v>
      </c>
      <c r="C88" s="45">
        <f>B88/$B$33</f>
        <v>0.31452455709865601</v>
      </c>
    </row>
    <row r="89" spans="1:8" ht="28.8" x14ac:dyDescent="0.3">
      <c r="A89" s="46" t="s">
        <v>13</v>
      </c>
      <c r="B89" s="40">
        <v>427529</v>
      </c>
      <c r="C89" s="45">
        <f>B89/$B$33</f>
        <v>0.48884256792449809</v>
      </c>
    </row>
    <row r="90" spans="1:8" ht="28.8" x14ac:dyDescent="0.3">
      <c r="A90" s="46" t="s">
        <v>44</v>
      </c>
      <c r="B90" s="40">
        <v>16862</v>
      </c>
      <c r="C90" s="45">
        <f>B90/$B$33</f>
        <v>1.9280243867299967E-2</v>
      </c>
    </row>
    <row r="92" spans="1:8" ht="15.6" x14ac:dyDescent="0.3">
      <c r="A92" s="39" t="s">
        <v>6</v>
      </c>
      <c r="B92" s="48">
        <v>854774</v>
      </c>
    </row>
    <row r="95" spans="1:8" x14ac:dyDescent="0.3">
      <c r="A95" s="47" t="s">
        <v>46</v>
      </c>
    </row>
    <row r="97" spans="1:3" ht="28.8" x14ac:dyDescent="0.3">
      <c r="A97" s="46" t="s">
        <v>42</v>
      </c>
      <c r="B97" s="40">
        <v>6235</v>
      </c>
      <c r="C97" s="45">
        <f>B97/$B$44</f>
        <v>4.8169780126392558E-2</v>
      </c>
    </row>
    <row r="98" spans="1:3" ht="43.2" x14ac:dyDescent="0.3">
      <c r="A98" s="46" t="s">
        <v>43</v>
      </c>
      <c r="B98" s="40">
        <v>9518</v>
      </c>
      <c r="C98" s="45">
        <f>B98/$B$44</f>
        <v>7.3533274617963815E-2</v>
      </c>
    </row>
    <row r="99" spans="1:3" x14ac:dyDescent="0.3">
      <c r="A99" s="46" t="s">
        <v>12</v>
      </c>
      <c r="B99" s="40">
        <v>21905</v>
      </c>
      <c r="C99" s="45">
        <f>B99/$B$44</f>
        <v>0.16923160122993247</v>
      </c>
    </row>
    <row r="100" spans="1:3" ht="28.8" x14ac:dyDescent="0.3">
      <c r="A100" s="46" t="s">
        <v>13</v>
      </c>
      <c r="B100" s="40">
        <v>84528</v>
      </c>
      <c r="C100" s="45">
        <f>B100/$B$44</f>
        <v>0.65303852037268806</v>
      </c>
    </row>
    <row r="101" spans="1:3" ht="28.8" x14ac:dyDescent="0.3">
      <c r="A101" s="46" t="s">
        <v>44</v>
      </c>
      <c r="B101" s="40">
        <v>7333</v>
      </c>
      <c r="C101" s="45">
        <f>B101/$B$44</f>
        <v>5.6652605880807796E-2</v>
      </c>
    </row>
    <row r="103" spans="1:3" x14ac:dyDescent="0.3">
      <c r="A103" s="39" t="s">
        <v>6</v>
      </c>
      <c r="B103" s="40">
        <v>129519</v>
      </c>
    </row>
    <row r="106" spans="1:3" x14ac:dyDescent="0.3">
      <c r="A106" s="47" t="s">
        <v>47</v>
      </c>
    </row>
    <row r="108" spans="1:3" x14ac:dyDescent="0.3">
      <c r="A108" s="46" t="s">
        <v>10</v>
      </c>
      <c r="B108" s="45">
        <f>C108/$C$55</f>
        <v>6.84341820819276E-2</v>
      </c>
      <c r="C108" s="40">
        <f>SUM(B75,B86,B97)</f>
        <v>87182</v>
      </c>
    </row>
    <row r="109" spans="1:3" x14ac:dyDescent="0.3">
      <c r="A109" s="46" t="s">
        <v>9</v>
      </c>
      <c r="B109" s="45">
        <f>C109/$C$55</f>
        <v>8.1758839016165416E-2</v>
      </c>
      <c r="C109" s="40">
        <f>SUM(B76,B87,B98)</f>
        <v>104157</v>
      </c>
    </row>
    <row r="110" spans="1:3" x14ac:dyDescent="0.3">
      <c r="A110" s="46" t="s">
        <v>11</v>
      </c>
      <c r="B110" s="45">
        <f>C110/$C$55</f>
        <v>0.33187854506520642</v>
      </c>
      <c r="C110" s="40">
        <f>SUM(B77,B88,B99)</f>
        <v>422798</v>
      </c>
    </row>
    <row r="111" spans="1:3" x14ac:dyDescent="0.3">
      <c r="A111" s="46" t="s">
        <v>48</v>
      </c>
      <c r="B111" s="45">
        <f>C111/$C$55</f>
        <v>0.47773153504757626</v>
      </c>
      <c r="C111" s="40">
        <f>SUM(B78,B89,B100)</f>
        <v>608608</v>
      </c>
    </row>
    <row r="112" spans="1:3" x14ac:dyDescent="0.3">
      <c r="A112" s="44" t="s">
        <v>74</v>
      </c>
      <c r="B112" s="43">
        <f>C112/$C$55</f>
        <v>2.5183797845134127E-2</v>
      </c>
      <c r="C112" s="42">
        <f>B114-(C111+C110+C109+C108)</f>
        <v>32083</v>
      </c>
    </row>
    <row r="113" spans="1:3" x14ac:dyDescent="0.3">
      <c r="B113" s="41"/>
    </row>
    <row r="114" spans="1:3" x14ac:dyDescent="0.3">
      <c r="A114" s="39" t="s">
        <v>6</v>
      </c>
      <c r="B114" s="40">
        <f>SUM(B81,B92,B103)</f>
        <v>1254828</v>
      </c>
      <c r="C114" s="40">
        <f>B114</f>
        <v>1254828</v>
      </c>
    </row>
    <row r="116" spans="1:3" x14ac:dyDescent="0.3">
      <c r="A116" s="55" t="s">
        <v>73</v>
      </c>
    </row>
    <row r="117" spans="1:3" x14ac:dyDescent="0.3">
      <c r="A117" s="55"/>
    </row>
    <row r="119" spans="1:3" x14ac:dyDescent="0.3">
      <c r="A119" s="47" t="s">
        <v>15</v>
      </c>
      <c r="B119" s="39">
        <v>2016</v>
      </c>
    </row>
    <row r="120" spans="1:3" x14ac:dyDescent="0.3">
      <c r="A120" s="47"/>
    </row>
    <row r="121" spans="1:3" x14ac:dyDescent="0.3">
      <c r="A121" s="47" t="s">
        <v>83</v>
      </c>
    </row>
    <row r="122" spans="1:3" x14ac:dyDescent="0.3">
      <c r="A122" s="47"/>
      <c r="B122" s="39" t="s">
        <v>40</v>
      </c>
      <c r="C122" s="39" t="s">
        <v>41</v>
      </c>
    </row>
    <row r="123" spans="1:3" ht="15.6" x14ac:dyDescent="0.3">
      <c r="A123" s="46" t="s">
        <v>82</v>
      </c>
      <c r="B123" s="48">
        <v>4507</v>
      </c>
      <c r="C123" s="49">
        <f>B123/B129</f>
        <v>5.6687545594043216E-2</v>
      </c>
    </row>
    <row r="124" spans="1:3" ht="15.6" x14ac:dyDescent="0.3">
      <c r="A124" s="46" t="s">
        <v>78</v>
      </c>
      <c r="B124" s="48">
        <v>6989</v>
      </c>
      <c r="C124" s="49">
        <f>B124/B129</f>
        <v>8.7905315322114055E-2</v>
      </c>
    </row>
    <row r="125" spans="1:3" ht="15.6" x14ac:dyDescent="0.3">
      <c r="A125" s="46" t="s">
        <v>77</v>
      </c>
      <c r="B125" s="48">
        <v>36832</v>
      </c>
      <c r="C125" s="49">
        <f>B125/B129</f>
        <v>0.46326063441752824</v>
      </c>
    </row>
    <row r="126" spans="1:3" ht="15.6" x14ac:dyDescent="0.3">
      <c r="A126" s="46" t="s">
        <v>76</v>
      </c>
      <c r="B126" s="48">
        <v>28725</v>
      </c>
      <c r="C126" s="49">
        <f>B126/B129</f>
        <v>0.36129348728397859</v>
      </c>
    </row>
    <row r="127" spans="1:3" ht="15.6" x14ac:dyDescent="0.3">
      <c r="A127" s="46" t="s">
        <v>75</v>
      </c>
      <c r="B127" s="48">
        <f>B129-(B126+B125+B124+B123)</f>
        <v>2453</v>
      </c>
      <c r="C127" s="49">
        <f>B127/B129</f>
        <v>3.0853017382335923E-2</v>
      </c>
    </row>
    <row r="128" spans="1:3" x14ac:dyDescent="0.3">
      <c r="A128" s="46"/>
    </row>
    <row r="129" spans="1:3" x14ac:dyDescent="0.3">
      <c r="A129" s="39" t="s">
        <v>6</v>
      </c>
      <c r="B129" s="40">
        <v>79506</v>
      </c>
    </row>
    <row r="130" spans="1:3" x14ac:dyDescent="0.3">
      <c r="A130" s="47"/>
    </row>
    <row r="131" spans="1:3" x14ac:dyDescent="0.3">
      <c r="A131" s="47" t="s">
        <v>39</v>
      </c>
    </row>
    <row r="132" spans="1:3" x14ac:dyDescent="0.3">
      <c r="B132" s="39" t="s">
        <v>40</v>
      </c>
      <c r="C132" s="39" t="s">
        <v>41</v>
      </c>
    </row>
    <row r="133" spans="1:3" x14ac:dyDescent="0.3">
      <c r="A133" s="46" t="s">
        <v>82</v>
      </c>
      <c r="B133" s="40">
        <v>14139</v>
      </c>
      <c r="C133" s="45">
        <f>B133/$B$22</f>
        <v>5.2377918219469369E-2</v>
      </c>
    </row>
    <row r="134" spans="1:3" x14ac:dyDescent="0.3">
      <c r="A134" s="46" t="s">
        <v>78</v>
      </c>
      <c r="B134" s="40">
        <v>24407</v>
      </c>
      <c r="C134" s="45">
        <f>B134/$B$22</f>
        <v>9.0415718932215075E-2</v>
      </c>
    </row>
    <row r="135" spans="1:3" x14ac:dyDescent="0.3">
      <c r="A135" s="46" t="s">
        <v>77</v>
      </c>
      <c r="B135" s="40">
        <v>126430</v>
      </c>
      <c r="C135" s="45">
        <f>B135/$B$22</f>
        <v>0.46835986989797807</v>
      </c>
    </row>
    <row r="136" spans="1:3" x14ac:dyDescent="0.3">
      <c r="A136" s="46" t="s">
        <v>76</v>
      </c>
      <c r="B136" s="40">
        <v>95896</v>
      </c>
      <c r="C136" s="45">
        <f>B136/$B$22</f>
        <v>0.35524668262071113</v>
      </c>
    </row>
    <row r="137" spans="1:3" x14ac:dyDescent="0.3">
      <c r="A137" s="46" t="s">
        <v>75</v>
      </c>
      <c r="B137" s="40">
        <f>B139-(B136+B135+B134+B133)</f>
        <v>8965</v>
      </c>
      <c r="C137" s="45">
        <f>B137/$B$22</f>
        <v>3.3210837883693535E-2</v>
      </c>
    </row>
    <row r="139" spans="1:3" x14ac:dyDescent="0.3">
      <c r="A139" s="39" t="s">
        <v>6</v>
      </c>
      <c r="B139" s="40">
        <v>269837</v>
      </c>
    </row>
    <row r="142" spans="1:3" x14ac:dyDescent="0.3">
      <c r="A142" s="47" t="s">
        <v>45</v>
      </c>
    </row>
    <row r="144" spans="1:3" ht="28.8" x14ac:dyDescent="0.3">
      <c r="A144" s="46" t="s">
        <v>42</v>
      </c>
      <c r="B144" s="39">
        <v>57695</v>
      </c>
      <c r="C144" s="45">
        <f>B144/$B$33</f>
        <v>6.5969260462808182E-2</v>
      </c>
    </row>
    <row r="145" spans="1:3" ht="43.2" x14ac:dyDescent="0.3">
      <c r="A145" s="46" t="s">
        <v>43</v>
      </c>
      <c r="B145" s="40">
        <v>66471</v>
      </c>
      <c r="C145" s="45">
        <f>B145/$B$33</f>
        <v>7.600386016506322E-2</v>
      </c>
    </row>
    <row r="146" spans="1:3" x14ac:dyDescent="0.3">
      <c r="A146" s="46" t="s">
        <v>12</v>
      </c>
      <c r="B146" s="40">
        <v>260278</v>
      </c>
      <c r="C146" s="45">
        <f>B146/$B$33</f>
        <v>0.29760546277387617</v>
      </c>
    </row>
    <row r="147" spans="1:3" ht="28.8" x14ac:dyDescent="0.3">
      <c r="A147" s="46" t="s">
        <v>13</v>
      </c>
      <c r="B147" s="40">
        <v>420040</v>
      </c>
      <c r="C147" s="45">
        <f>B147/$B$33</f>
        <v>0.48027954181121324</v>
      </c>
    </row>
    <row r="148" spans="1:3" ht="28.8" x14ac:dyDescent="0.3">
      <c r="A148" s="46" t="s">
        <v>44</v>
      </c>
      <c r="B148" s="40">
        <f>B150-(B147+B146+B145+B144)</f>
        <v>16575</v>
      </c>
      <c r="C148" s="45">
        <f>B148/$B$33</f>
        <v>1.895208410037344E-2</v>
      </c>
    </row>
    <row r="150" spans="1:3" ht="15.6" x14ac:dyDescent="0.3">
      <c r="A150" s="39" t="s">
        <v>6</v>
      </c>
      <c r="B150" s="48">
        <v>821059</v>
      </c>
    </row>
    <row r="153" spans="1:3" x14ac:dyDescent="0.3">
      <c r="A153" s="47" t="s">
        <v>46</v>
      </c>
    </row>
    <row r="155" spans="1:3" ht="28.8" x14ac:dyDescent="0.3">
      <c r="A155" s="46" t="s">
        <v>42</v>
      </c>
      <c r="B155" s="40">
        <v>4915</v>
      </c>
      <c r="C155" s="45">
        <f>B155/$B$44</f>
        <v>3.7971847525456202E-2</v>
      </c>
    </row>
    <row r="156" spans="1:3" ht="43.2" x14ac:dyDescent="0.3">
      <c r="A156" s="46" t="s">
        <v>43</v>
      </c>
      <c r="B156" s="40">
        <v>8571</v>
      </c>
      <c r="C156" s="45">
        <f>B156/$B$44</f>
        <v>6.6217030547443559E-2</v>
      </c>
    </row>
    <row r="157" spans="1:3" x14ac:dyDescent="0.3">
      <c r="A157" s="46" t="s">
        <v>12</v>
      </c>
      <c r="B157" s="40">
        <v>18739</v>
      </c>
      <c r="C157" s="45">
        <f>B157/$B$44</f>
        <v>0.14477201440071694</v>
      </c>
    </row>
    <row r="158" spans="1:3" ht="28.8" x14ac:dyDescent="0.3">
      <c r="A158" s="46" t="s">
        <v>13</v>
      </c>
      <c r="B158" s="40">
        <v>74909</v>
      </c>
      <c r="C158" s="45">
        <f>B158/$B$44</f>
        <v>0.57872494939662233</v>
      </c>
    </row>
    <row r="159" spans="1:3" ht="28.8" x14ac:dyDescent="0.3">
      <c r="A159" s="46" t="s">
        <v>44</v>
      </c>
      <c r="B159" s="40">
        <f>B161-(B158+B156+B157+B155)</f>
        <v>1293</v>
      </c>
      <c r="C159" s="45">
        <f>B159/$B$44</f>
        <v>9.989338525008112E-3</v>
      </c>
    </row>
    <row r="161" spans="1:3" x14ac:dyDescent="0.3">
      <c r="A161" s="39" t="s">
        <v>6</v>
      </c>
      <c r="B161" s="40">
        <v>108427</v>
      </c>
    </row>
    <row r="164" spans="1:3" x14ac:dyDescent="0.3">
      <c r="A164" s="47" t="s">
        <v>47</v>
      </c>
    </row>
    <row r="166" spans="1:3" x14ac:dyDescent="0.3">
      <c r="A166" s="46" t="s">
        <v>10</v>
      </c>
      <c r="B166" s="45">
        <f>C166/$C$55</f>
        <v>6.0244718412124768E-2</v>
      </c>
      <c r="C166" s="40">
        <f>SUM(B133,B144,B155)</f>
        <v>76749</v>
      </c>
    </row>
    <row r="167" spans="1:3" x14ac:dyDescent="0.3">
      <c r="A167" s="46" t="s">
        <v>9</v>
      </c>
      <c r="B167" s="45">
        <f>C167/$C$55</f>
        <v>7.8063258171017169E-2</v>
      </c>
      <c r="C167" s="40">
        <f>SUM(B134,B145,B156)</f>
        <v>99449</v>
      </c>
    </row>
    <row r="168" spans="1:3" x14ac:dyDescent="0.3">
      <c r="A168" s="46" t="s">
        <v>11</v>
      </c>
      <c r="B168" s="45">
        <f>C168/$C$55</f>
        <v>0.3182587440362839</v>
      </c>
      <c r="C168" s="40">
        <f>SUM(B135,B146,B157)</f>
        <v>405447</v>
      </c>
    </row>
    <row r="169" spans="1:3" x14ac:dyDescent="0.3">
      <c r="A169" s="46" t="s">
        <v>48</v>
      </c>
      <c r="B169" s="45">
        <f>C169/$C$55</f>
        <v>0.46378833144681836</v>
      </c>
      <c r="C169" s="40">
        <f>SUM(B136,B147,B158)</f>
        <v>590845</v>
      </c>
    </row>
    <row r="170" spans="1:3" x14ac:dyDescent="0.3">
      <c r="A170" s="44" t="s">
        <v>74</v>
      </c>
      <c r="B170" s="43">
        <f>C170/$C$55</f>
        <v>2.1062769927328615E-2</v>
      </c>
      <c r="C170" s="42">
        <f>B172-(C169+C168+C167+C166)</f>
        <v>26833</v>
      </c>
    </row>
    <row r="171" spans="1:3" x14ac:dyDescent="0.3">
      <c r="B171" s="41"/>
    </row>
    <row r="172" spans="1:3" x14ac:dyDescent="0.3">
      <c r="A172" s="39" t="s">
        <v>6</v>
      </c>
      <c r="B172" s="40">
        <f>SUM(B139,B150,B161)</f>
        <v>1199323</v>
      </c>
      <c r="C172" s="40">
        <f>B172</f>
        <v>1199323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8"/>
  <sheetViews>
    <sheetView zoomScaleNormal="100" workbookViewId="0">
      <selection activeCell="T3" sqref="T3"/>
    </sheetView>
  </sheetViews>
  <sheetFormatPr defaultRowHeight="15.6" x14ac:dyDescent="0.3"/>
  <cols>
    <col min="1" max="1" width="14.90625" customWidth="1"/>
    <col min="2" max="6" width="0" hidden="1" customWidth="1"/>
    <col min="257" max="257" width="14.90625" customWidth="1"/>
    <col min="513" max="513" width="14.90625" customWidth="1"/>
    <col min="769" max="769" width="14.90625" customWidth="1"/>
    <col min="1025" max="1025" width="14.90625" customWidth="1"/>
    <col min="1281" max="1281" width="14.90625" customWidth="1"/>
    <col min="1537" max="1537" width="14.90625" customWidth="1"/>
    <col min="1793" max="1793" width="14.90625" customWidth="1"/>
    <col min="2049" max="2049" width="14.90625" customWidth="1"/>
    <col min="2305" max="2305" width="14.90625" customWidth="1"/>
    <col min="2561" max="2561" width="14.90625" customWidth="1"/>
    <col min="2817" max="2817" width="14.90625" customWidth="1"/>
    <col min="3073" max="3073" width="14.90625" customWidth="1"/>
    <col min="3329" max="3329" width="14.90625" customWidth="1"/>
    <col min="3585" max="3585" width="14.90625" customWidth="1"/>
    <col min="3841" max="3841" width="14.90625" customWidth="1"/>
    <col min="4097" max="4097" width="14.90625" customWidth="1"/>
    <col min="4353" max="4353" width="14.90625" customWidth="1"/>
    <col min="4609" max="4609" width="14.90625" customWidth="1"/>
    <col min="4865" max="4865" width="14.90625" customWidth="1"/>
    <col min="5121" max="5121" width="14.90625" customWidth="1"/>
    <col min="5377" max="5377" width="14.90625" customWidth="1"/>
    <col min="5633" max="5633" width="14.90625" customWidth="1"/>
    <col min="5889" max="5889" width="14.90625" customWidth="1"/>
    <col min="6145" max="6145" width="14.90625" customWidth="1"/>
    <col min="6401" max="6401" width="14.90625" customWidth="1"/>
    <col min="6657" max="6657" width="14.90625" customWidth="1"/>
    <col min="6913" max="6913" width="14.90625" customWidth="1"/>
    <col min="7169" max="7169" width="14.90625" customWidth="1"/>
    <col min="7425" max="7425" width="14.90625" customWidth="1"/>
    <col min="7681" max="7681" width="14.90625" customWidth="1"/>
    <col min="7937" max="7937" width="14.90625" customWidth="1"/>
    <col min="8193" max="8193" width="14.90625" customWidth="1"/>
    <col min="8449" max="8449" width="14.90625" customWidth="1"/>
    <col min="8705" max="8705" width="14.90625" customWidth="1"/>
    <col min="8961" max="8961" width="14.90625" customWidth="1"/>
    <col min="9217" max="9217" width="14.90625" customWidth="1"/>
    <col min="9473" max="9473" width="14.90625" customWidth="1"/>
    <col min="9729" max="9729" width="14.90625" customWidth="1"/>
    <col min="9985" max="9985" width="14.90625" customWidth="1"/>
    <col min="10241" max="10241" width="14.90625" customWidth="1"/>
    <col min="10497" max="10497" width="14.90625" customWidth="1"/>
    <col min="10753" max="10753" width="14.90625" customWidth="1"/>
    <col min="11009" max="11009" width="14.90625" customWidth="1"/>
    <col min="11265" max="11265" width="14.90625" customWidth="1"/>
    <col min="11521" max="11521" width="14.90625" customWidth="1"/>
    <col min="11777" max="11777" width="14.90625" customWidth="1"/>
    <col min="12033" max="12033" width="14.90625" customWidth="1"/>
    <col min="12289" max="12289" width="14.90625" customWidth="1"/>
    <col min="12545" max="12545" width="14.90625" customWidth="1"/>
    <col min="12801" max="12801" width="14.90625" customWidth="1"/>
    <col min="13057" max="13057" width="14.90625" customWidth="1"/>
    <col min="13313" max="13313" width="14.90625" customWidth="1"/>
    <col min="13569" max="13569" width="14.90625" customWidth="1"/>
    <col min="13825" max="13825" width="14.90625" customWidth="1"/>
    <col min="14081" max="14081" width="14.90625" customWidth="1"/>
    <col min="14337" max="14337" width="14.90625" customWidth="1"/>
    <col min="14593" max="14593" width="14.90625" customWidth="1"/>
    <col min="14849" max="14849" width="14.90625" customWidth="1"/>
    <col min="15105" max="15105" width="14.90625" customWidth="1"/>
    <col min="15361" max="15361" width="14.90625" customWidth="1"/>
    <col min="15617" max="15617" width="14.90625" customWidth="1"/>
    <col min="15873" max="15873" width="14.90625" customWidth="1"/>
    <col min="16129" max="16129" width="14.90625" customWidth="1"/>
  </cols>
  <sheetData>
    <row r="1" spans="1:21" x14ac:dyDescent="0.3">
      <c r="B1" s="23">
        <v>2000</v>
      </c>
      <c r="C1" s="23">
        <v>2001</v>
      </c>
      <c r="D1" s="23">
        <v>2002</v>
      </c>
      <c r="E1" s="23">
        <v>2003</v>
      </c>
      <c r="F1" s="23">
        <v>2004</v>
      </c>
      <c r="G1" s="23">
        <v>2005</v>
      </c>
      <c r="H1" s="23">
        <v>2006</v>
      </c>
      <c r="I1" s="23">
        <v>2007</v>
      </c>
      <c r="J1" s="23">
        <v>2008</v>
      </c>
      <c r="K1" s="23">
        <v>2009</v>
      </c>
      <c r="L1" s="23">
        <v>2010</v>
      </c>
      <c r="M1" s="23">
        <v>2011</v>
      </c>
      <c r="N1" s="23">
        <v>2012</v>
      </c>
      <c r="O1" s="23">
        <v>2013</v>
      </c>
      <c r="P1" s="23">
        <v>2014</v>
      </c>
      <c r="Q1" s="23">
        <v>2015</v>
      </c>
      <c r="R1" s="23">
        <v>2016</v>
      </c>
      <c r="S1" s="23">
        <v>2017</v>
      </c>
      <c r="T1" s="23">
        <v>2018</v>
      </c>
      <c r="U1" s="23">
        <v>2019</v>
      </c>
    </row>
    <row r="2" spans="1:21" x14ac:dyDescent="0.3">
      <c r="A2" s="23" t="s">
        <v>51</v>
      </c>
      <c r="B2" s="21">
        <v>0.17</v>
      </c>
      <c r="C2" s="21"/>
      <c r="D2" s="21"/>
      <c r="E2" s="21"/>
      <c r="F2" s="21"/>
      <c r="G2" s="21">
        <v>0.25700000000000001</v>
      </c>
      <c r="H2" s="21">
        <v>0.252</v>
      </c>
      <c r="I2" s="21">
        <v>0.23799999999999999</v>
      </c>
      <c r="J2" s="21">
        <v>0.223</v>
      </c>
      <c r="K2" s="21">
        <v>0.27400000000000002</v>
      </c>
      <c r="L2" s="21">
        <v>0.27800000000000002</v>
      </c>
      <c r="M2" s="21">
        <v>0.29099999999999998</v>
      </c>
      <c r="N2" s="21">
        <v>0.3</v>
      </c>
      <c r="O2" s="21">
        <v>0.23600000000000002</v>
      </c>
      <c r="P2" s="21">
        <v>0.26800000000000002</v>
      </c>
      <c r="Q2" s="21">
        <v>0.20100000000000001</v>
      </c>
      <c r="R2" s="21">
        <v>0.184</v>
      </c>
      <c r="S2" s="5">
        <v>0.17</v>
      </c>
      <c r="T2" s="5">
        <v>0.186</v>
      </c>
      <c r="U2" s="5">
        <v>0.16400000000000001</v>
      </c>
    </row>
    <row r="3" spans="1:21" x14ac:dyDescent="0.3">
      <c r="A3" s="23" t="s">
        <v>15</v>
      </c>
      <c r="B3" s="21">
        <v>0.14299999999999999</v>
      </c>
      <c r="C3" s="21"/>
      <c r="D3" s="21"/>
      <c r="E3" s="21"/>
      <c r="F3" s="21"/>
      <c r="G3" s="21">
        <v>0.214</v>
      </c>
      <c r="H3" s="21">
        <v>0.20399999999999999</v>
      </c>
      <c r="I3" s="21">
        <v>0.187</v>
      </c>
      <c r="J3" s="21">
        <v>0.191</v>
      </c>
      <c r="K3" s="21">
        <v>0.23200000000000001</v>
      </c>
      <c r="L3" s="21">
        <v>0.255</v>
      </c>
      <c r="M3" s="21">
        <v>0.253</v>
      </c>
      <c r="N3" s="21">
        <v>0.26400000000000001</v>
      </c>
      <c r="O3" s="21">
        <v>0.217</v>
      </c>
      <c r="P3" s="21">
        <v>0.24299999999999999</v>
      </c>
      <c r="Q3" s="21">
        <v>0.183</v>
      </c>
      <c r="R3" s="21">
        <v>0.16500000000000001</v>
      </c>
      <c r="S3" s="5">
        <v>0.15</v>
      </c>
      <c r="T3" s="5">
        <v>0.158</v>
      </c>
      <c r="U3" s="5">
        <v>0.14099999999999999</v>
      </c>
    </row>
    <row r="4" spans="1:21" ht="31.5" customHeight="1" x14ac:dyDescent="0.3">
      <c r="A4" s="24" t="s">
        <v>21</v>
      </c>
      <c r="B4" s="21">
        <v>0.122</v>
      </c>
      <c r="C4" s="21"/>
      <c r="D4" s="21"/>
      <c r="E4" s="21"/>
      <c r="F4" s="21"/>
      <c r="G4" s="21">
        <v>0.17100000000000001</v>
      </c>
      <c r="H4" s="21">
        <v>0.16</v>
      </c>
      <c r="I4" s="21">
        <v>0.158</v>
      </c>
      <c r="J4" s="21">
        <v>0.156</v>
      </c>
      <c r="K4" s="21">
        <v>0.187</v>
      </c>
      <c r="L4" s="21">
        <v>0.20100000000000001</v>
      </c>
      <c r="M4" s="21">
        <v>0.19800000000000001</v>
      </c>
      <c r="N4" s="21">
        <v>0.21199999999999999</v>
      </c>
      <c r="O4" s="21">
        <v>0.17800000000000002</v>
      </c>
      <c r="P4" s="21">
        <v>0.19899999999999998</v>
      </c>
      <c r="Q4" s="21">
        <v>0.152</v>
      </c>
      <c r="R4" s="21">
        <v>0.13600000000000001</v>
      </c>
      <c r="S4" s="5">
        <v>0.123</v>
      </c>
      <c r="T4" s="5">
        <v>0.13600000000000001</v>
      </c>
      <c r="U4" s="5">
        <v>0.128</v>
      </c>
    </row>
    <row r="5" spans="1:21" x14ac:dyDescent="0.3">
      <c r="A5" s="23" t="s">
        <v>16</v>
      </c>
      <c r="B5" s="21">
        <v>0.20499999999999999</v>
      </c>
      <c r="C5" s="21"/>
      <c r="D5" s="21"/>
      <c r="E5" s="21"/>
      <c r="F5" s="21"/>
      <c r="G5" s="21">
        <v>0.249</v>
      </c>
      <c r="H5" s="21">
        <v>0.23899999999999999</v>
      </c>
      <c r="I5" s="21">
        <v>0.23200000000000001</v>
      </c>
      <c r="J5" s="21">
        <v>0.22500000000000001</v>
      </c>
      <c r="K5" s="21">
        <v>0.24399999999999999</v>
      </c>
      <c r="L5" s="21">
        <v>0.25700000000000001</v>
      </c>
      <c r="M5" s="21">
        <v>0.26600000000000001</v>
      </c>
      <c r="N5" s="21">
        <v>0.25800000000000001</v>
      </c>
      <c r="O5" s="21">
        <v>0.25</v>
      </c>
      <c r="P5" s="21">
        <v>0.24600000000000002</v>
      </c>
      <c r="Q5" s="21">
        <v>0.23</v>
      </c>
      <c r="R5" s="21">
        <v>0.22399999999999998</v>
      </c>
      <c r="S5" s="5">
        <v>0.20899999999999999</v>
      </c>
      <c r="T5" s="5">
        <v>0.21099999999999999</v>
      </c>
      <c r="U5" s="5">
        <v>0.192</v>
      </c>
    </row>
    <row r="6" spans="1:21" x14ac:dyDescent="0.3">
      <c r="A6" s="23" t="s">
        <v>50</v>
      </c>
      <c r="B6" s="21">
        <v>0.16600000000000001</v>
      </c>
      <c r="C6" s="21"/>
      <c r="D6" s="21"/>
      <c r="E6" s="21"/>
      <c r="F6" s="21"/>
      <c r="G6" s="21">
        <v>0.185</v>
      </c>
      <c r="H6" s="21">
        <v>0.183</v>
      </c>
      <c r="I6" s="21">
        <v>0.18</v>
      </c>
      <c r="J6" s="21">
        <v>0.182</v>
      </c>
      <c r="K6" s="21">
        <v>0.2</v>
      </c>
      <c r="L6" s="21">
        <v>0.216</v>
      </c>
      <c r="M6" s="21">
        <v>0.22500000000000001</v>
      </c>
      <c r="N6" s="21">
        <v>0.22600000000000001</v>
      </c>
      <c r="O6" s="21">
        <v>0.222</v>
      </c>
      <c r="P6" s="21">
        <v>0.217</v>
      </c>
      <c r="Q6" s="21">
        <v>0.20699999999999999</v>
      </c>
      <c r="R6" s="21">
        <v>0.19500000000000001</v>
      </c>
      <c r="S6" s="5">
        <v>0.184</v>
      </c>
      <c r="T6" s="5">
        <v>0.18</v>
      </c>
      <c r="U6" s="5">
        <v>0.16800000000000001</v>
      </c>
    </row>
    <row r="8" spans="1:21" x14ac:dyDescent="0.3">
      <c r="A8" s="23" t="s">
        <v>52</v>
      </c>
    </row>
  </sheetData>
  <pageMargins left="0.75" right="0.75" top="1" bottom="1" header="0.5" footer="0.5"/>
  <pageSetup orientation="portrait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zoomScale="72" zoomScaleNormal="72" workbookViewId="0">
      <selection activeCell="R28" sqref="R28"/>
    </sheetView>
  </sheetViews>
  <sheetFormatPr defaultColWidth="11.54296875" defaultRowHeight="15.6" x14ac:dyDescent="0.3"/>
  <sheetData>
    <row r="1" spans="1:6" x14ac:dyDescent="0.3">
      <c r="A1" s="83" t="s">
        <v>17</v>
      </c>
      <c r="B1" s="83"/>
      <c r="C1" s="83"/>
      <c r="D1" s="83"/>
      <c r="E1" s="83"/>
      <c r="F1" s="83"/>
    </row>
    <row r="2" spans="1:6" ht="16.2" thickBot="1" x14ac:dyDescent="0.35">
      <c r="A2" s="7" t="s">
        <v>14</v>
      </c>
      <c r="B2" s="8" t="s">
        <v>15</v>
      </c>
      <c r="C2" s="8" t="s">
        <v>19</v>
      </c>
      <c r="D2" s="8" t="s">
        <v>20</v>
      </c>
      <c r="E2" s="7" t="s">
        <v>18</v>
      </c>
      <c r="F2" s="7" t="s">
        <v>21</v>
      </c>
    </row>
    <row r="3" spans="1:6" ht="16.2" thickTop="1" x14ac:dyDescent="0.3">
      <c r="A3" s="10">
        <v>2006</v>
      </c>
      <c r="B3" s="25">
        <v>0.20399999999999999</v>
      </c>
      <c r="C3" s="26">
        <v>0.128</v>
      </c>
      <c r="D3" s="25">
        <v>0.09</v>
      </c>
      <c r="E3" s="26">
        <v>7.9000000000000001E-2</v>
      </c>
      <c r="F3" s="26">
        <v>0.16</v>
      </c>
    </row>
    <row r="4" spans="1:6" x14ac:dyDescent="0.3">
      <c r="A4" s="9">
        <v>2007</v>
      </c>
      <c r="B4" s="27">
        <v>0.187</v>
      </c>
      <c r="C4" s="28">
        <v>0.17</v>
      </c>
      <c r="D4" s="27">
        <v>0.13100000000000001</v>
      </c>
      <c r="E4" s="28">
        <v>7.8E-2</v>
      </c>
      <c r="F4" s="28">
        <v>0.158</v>
      </c>
    </row>
    <row r="5" spans="1:6" x14ac:dyDescent="0.3">
      <c r="A5" s="10">
        <v>2008</v>
      </c>
      <c r="B5" s="25">
        <v>0.191</v>
      </c>
      <c r="C5" s="26">
        <v>0.17599999999999999</v>
      </c>
      <c r="D5" s="25">
        <v>0.151</v>
      </c>
      <c r="E5" s="26">
        <v>7.1999999999999995E-2</v>
      </c>
      <c r="F5" s="26">
        <v>0.156</v>
      </c>
    </row>
    <row r="6" spans="1:6" x14ac:dyDescent="0.3">
      <c r="A6" s="9">
        <v>2009</v>
      </c>
      <c r="B6" s="27">
        <v>0.23200000000000001</v>
      </c>
      <c r="C6" s="28">
        <v>0.20699999999999999</v>
      </c>
      <c r="D6" s="27">
        <v>0.222</v>
      </c>
      <c r="E6" s="28">
        <v>7.1999999999999995E-2</v>
      </c>
      <c r="F6" s="28">
        <v>0.187</v>
      </c>
    </row>
    <row r="7" spans="1:6" x14ac:dyDescent="0.3">
      <c r="A7" s="10">
        <v>2010</v>
      </c>
      <c r="B7" s="25">
        <v>0.255</v>
      </c>
      <c r="C7" s="26">
        <v>0.28399999999999997</v>
      </c>
      <c r="D7" s="25">
        <v>8.5000000000000006E-2</v>
      </c>
      <c r="E7" s="26">
        <v>0.113</v>
      </c>
      <c r="F7" s="26">
        <v>0.20100000000000001</v>
      </c>
    </row>
    <row r="8" spans="1:6" x14ac:dyDescent="0.3">
      <c r="A8" s="9">
        <v>2011</v>
      </c>
      <c r="B8" s="27">
        <v>0.253</v>
      </c>
      <c r="C8" s="28">
        <v>0.105</v>
      </c>
      <c r="D8" s="27">
        <v>0.20200000000000001</v>
      </c>
      <c r="E8" s="28">
        <v>9.0999999999999998E-2</v>
      </c>
      <c r="F8" s="28">
        <v>0.19800000000000001</v>
      </c>
    </row>
    <row r="9" spans="1:6" x14ac:dyDescent="0.3">
      <c r="A9" s="11">
        <v>2012</v>
      </c>
      <c r="B9" s="29">
        <v>0.26400000000000001</v>
      </c>
      <c r="C9" s="30">
        <v>0.16900000000000001</v>
      </c>
      <c r="D9" s="29">
        <v>0.20200000000000001</v>
      </c>
      <c r="E9" s="30">
        <v>0.104</v>
      </c>
      <c r="F9" s="30">
        <v>0.21199999999999999</v>
      </c>
    </row>
    <row r="10" spans="1:6" x14ac:dyDescent="0.3">
      <c r="A10" s="12">
        <v>2013</v>
      </c>
      <c r="B10" s="31">
        <v>0.217</v>
      </c>
      <c r="C10" s="32">
        <v>0.33</v>
      </c>
      <c r="D10" s="31">
        <v>0.13500000000000001</v>
      </c>
      <c r="E10" s="32">
        <v>9.1999999999999998E-2</v>
      </c>
      <c r="F10" s="32">
        <v>0.17800000000000002</v>
      </c>
    </row>
    <row r="11" spans="1:6" x14ac:dyDescent="0.3">
      <c r="A11" s="10">
        <v>2014</v>
      </c>
      <c r="B11" s="25">
        <v>0.24299999999999999</v>
      </c>
      <c r="C11" s="26">
        <v>0.17699999999999999</v>
      </c>
      <c r="D11" s="25">
        <v>0.24299999999999999</v>
      </c>
      <c r="E11" s="26">
        <v>0.10299999999999999</v>
      </c>
      <c r="F11" s="26">
        <v>0.19900000000000001</v>
      </c>
    </row>
    <row r="12" spans="1:6" x14ac:dyDescent="0.3">
      <c r="A12" s="9">
        <v>2015</v>
      </c>
      <c r="B12" s="27">
        <v>0.183</v>
      </c>
      <c r="C12" s="28">
        <v>0.11700000000000001</v>
      </c>
      <c r="D12" s="27">
        <v>0.156</v>
      </c>
      <c r="E12" s="28">
        <v>8.5000000000000006E-2</v>
      </c>
      <c r="F12" s="28">
        <v>0.152</v>
      </c>
    </row>
    <row r="13" spans="1:6" x14ac:dyDescent="0.3">
      <c r="A13" s="10">
        <v>2016</v>
      </c>
      <c r="B13" s="25">
        <v>0.16500000000000001</v>
      </c>
      <c r="C13" s="26">
        <v>0.13100000000000001</v>
      </c>
      <c r="D13" s="25">
        <v>0.16800000000000001</v>
      </c>
      <c r="E13" s="26">
        <v>0.06</v>
      </c>
      <c r="F13" s="26">
        <v>0.13600000000000001</v>
      </c>
    </row>
    <row r="14" spans="1:6" x14ac:dyDescent="0.3">
      <c r="A14" s="9">
        <v>2017</v>
      </c>
      <c r="B14" s="27">
        <v>0.15</v>
      </c>
      <c r="C14" s="28">
        <v>7.3999999999999996E-2</v>
      </c>
      <c r="D14" s="27">
        <v>0.13100000000000001</v>
      </c>
      <c r="E14" s="28">
        <v>7.1999999999999995E-2</v>
      </c>
      <c r="F14" s="28">
        <v>0.123</v>
      </c>
    </row>
    <row r="15" spans="1:6" x14ac:dyDescent="0.3">
      <c r="A15" s="10">
        <v>2018</v>
      </c>
      <c r="B15" s="25">
        <v>0.158</v>
      </c>
      <c r="C15" s="26">
        <v>0.14299999999999999</v>
      </c>
      <c r="D15" s="25">
        <v>0.153</v>
      </c>
      <c r="E15" s="26">
        <v>8.7999999999999995E-2</v>
      </c>
      <c r="F15" s="26">
        <v>0.13600000000000001</v>
      </c>
    </row>
    <row r="16" spans="1:6" x14ac:dyDescent="0.3">
      <c r="A16" s="59">
        <v>2019</v>
      </c>
      <c r="B16" s="60">
        <v>0.14099999999999999</v>
      </c>
      <c r="C16" s="61">
        <v>0.36799999999999999</v>
      </c>
      <c r="D16" s="60">
        <v>0.13200000000000001</v>
      </c>
      <c r="E16" s="61">
        <v>6.0999999999999999E-2</v>
      </c>
      <c r="F16" s="61">
        <v>0.128</v>
      </c>
    </row>
    <row r="18" spans="1:6" x14ac:dyDescent="0.3">
      <c r="A18" s="50" t="s">
        <v>84</v>
      </c>
      <c r="B18" s="50"/>
      <c r="C18" s="50"/>
      <c r="D18" s="50"/>
      <c r="E18" s="50"/>
      <c r="F18" s="50"/>
    </row>
  </sheetData>
  <mergeCells count="1">
    <mergeCell ref="A1:F1"/>
  </mergeCells>
  <pageMargins left="0.75" right="0.75" top="1" bottom="1" header="0.5" footer="0.5"/>
  <pageSetup orientation="portrait" horizontalDpi="4294967292" verticalDpi="429496729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9"/>
  <sheetViews>
    <sheetView zoomScale="70" zoomScaleNormal="70" workbookViewId="0">
      <selection activeCell="F29" sqref="F29"/>
    </sheetView>
  </sheetViews>
  <sheetFormatPr defaultRowHeight="15.6" x14ac:dyDescent="0.3"/>
  <cols>
    <col min="1" max="1" width="41.6328125" customWidth="1"/>
    <col min="3" max="3" width="15.08984375" customWidth="1"/>
    <col min="4" max="4" width="13.90625" customWidth="1"/>
    <col min="5" max="5" width="14.36328125" customWidth="1"/>
    <col min="6" max="6" width="18.90625" customWidth="1"/>
  </cols>
  <sheetData>
    <row r="1" spans="1:6" x14ac:dyDescent="0.3">
      <c r="A1" s="63" t="s">
        <v>40</v>
      </c>
      <c r="B1" s="63"/>
      <c r="C1" s="63"/>
      <c r="D1" s="63"/>
      <c r="E1" s="63"/>
      <c r="F1" s="63"/>
    </row>
    <row r="2" spans="1:6" x14ac:dyDescent="0.3">
      <c r="A2" s="63" t="s">
        <v>64</v>
      </c>
      <c r="B2" s="63">
        <v>2019</v>
      </c>
      <c r="C2" s="63"/>
      <c r="D2" s="63"/>
      <c r="E2" s="63"/>
      <c r="F2" s="63"/>
    </row>
    <row r="3" spans="1:6" x14ac:dyDescent="0.3">
      <c r="A3" s="63"/>
      <c r="B3" s="63" t="s">
        <v>59</v>
      </c>
      <c r="C3" s="63" t="s">
        <v>49</v>
      </c>
      <c r="D3" s="63" t="s">
        <v>66</v>
      </c>
      <c r="E3" s="63" t="s">
        <v>67</v>
      </c>
      <c r="F3" s="63" t="s">
        <v>68</v>
      </c>
    </row>
    <row r="4" spans="1:6" x14ac:dyDescent="0.3">
      <c r="A4" s="64" t="s">
        <v>65</v>
      </c>
      <c r="B4" s="64" t="s">
        <v>88</v>
      </c>
      <c r="C4" s="64">
        <v>745</v>
      </c>
      <c r="D4" s="65">
        <f t="shared" ref="D4:D8" si="0">B4-C4</f>
        <v>268555</v>
      </c>
      <c r="E4" s="65">
        <f t="shared" ref="E4:E8" si="1">B4+C4</f>
        <v>270045</v>
      </c>
      <c r="F4" s="66">
        <f t="shared" ref="F4:F8" si="2">(C4/1.645)/B4</f>
        <v>1.6817212699365798E-3</v>
      </c>
    </row>
    <row r="5" spans="1:6" x14ac:dyDescent="0.3">
      <c r="A5" s="67" t="s">
        <v>93</v>
      </c>
      <c r="B5" s="64" t="s">
        <v>89</v>
      </c>
      <c r="C5" s="68">
        <v>6113</v>
      </c>
      <c r="D5" s="65">
        <f t="shared" si="0"/>
        <v>185820</v>
      </c>
      <c r="E5" s="65">
        <f t="shared" si="1"/>
        <v>198046</v>
      </c>
      <c r="F5" s="66">
        <f t="shared" si="2"/>
        <v>1.9361492929784879E-2</v>
      </c>
    </row>
    <row r="6" spans="1:6" x14ac:dyDescent="0.3">
      <c r="A6" s="67" t="s">
        <v>94</v>
      </c>
      <c r="B6" s="64" t="s">
        <v>90</v>
      </c>
      <c r="C6" s="68">
        <v>4434</v>
      </c>
      <c r="D6" s="65">
        <f t="shared" si="0"/>
        <v>13601</v>
      </c>
      <c r="E6" s="65">
        <f t="shared" si="1"/>
        <v>22469</v>
      </c>
      <c r="F6" s="66">
        <f t="shared" si="2"/>
        <v>0.14945609811384988</v>
      </c>
    </row>
    <row r="7" spans="1:6" ht="31.2" x14ac:dyDescent="0.3">
      <c r="A7" s="67" t="s">
        <v>95</v>
      </c>
      <c r="B7" s="64" t="s">
        <v>91</v>
      </c>
      <c r="C7" s="68">
        <v>3992</v>
      </c>
      <c r="D7" s="65">
        <f t="shared" si="0"/>
        <v>10199</v>
      </c>
      <c r="E7" s="65">
        <f t="shared" si="1"/>
        <v>18183</v>
      </c>
      <c r="F7" s="66">
        <f t="shared" si="2"/>
        <v>0.17100611094107124</v>
      </c>
    </row>
    <row r="8" spans="1:6" ht="31.2" x14ac:dyDescent="0.3">
      <c r="A8" s="67" t="s">
        <v>96</v>
      </c>
      <c r="B8" s="64" t="s">
        <v>92</v>
      </c>
      <c r="C8" s="68">
        <v>6074</v>
      </c>
      <c r="D8" s="65">
        <f t="shared" si="0"/>
        <v>39067</v>
      </c>
      <c r="E8" s="65">
        <f t="shared" si="1"/>
        <v>51215</v>
      </c>
      <c r="F8" s="66">
        <f t="shared" si="2"/>
        <v>8.1797062887518465E-2</v>
      </c>
    </row>
    <row r="9" spans="1:6" x14ac:dyDescent="0.3">
      <c r="A9" s="63"/>
      <c r="B9" s="65"/>
      <c r="C9" s="63"/>
      <c r="D9" s="65"/>
      <c r="E9" s="65"/>
      <c r="F9" s="66"/>
    </row>
    <row r="10" spans="1:6" x14ac:dyDescent="0.3">
      <c r="A10" s="63"/>
      <c r="B10" s="63"/>
      <c r="C10" s="63"/>
      <c r="D10" s="63"/>
      <c r="E10" s="63"/>
      <c r="F10" s="63"/>
    </row>
    <row r="11" spans="1:6" x14ac:dyDescent="0.3">
      <c r="A11" s="63" t="s">
        <v>41</v>
      </c>
      <c r="B11" s="63"/>
      <c r="C11" s="63"/>
      <c r="D11" s="63"/>
      <c r="E11" s="63"/>
      <c r="F11" s="63"/>
    </row>
    <row r="12" spans="1:6" x14ac:dyDescent="0.3">
      <c r="A12" s="63"/>
      <c r="B12" s="63" t="s">
        <v>59</v>
      </c>
      <c r="C12" s="63" t="s">
        <v>49</v>
      </c>
      <c r="D12" s="63" t="s">
        <v>66</v>
      </c>
      <c r="E12" s="63" t="s">
        <v>67</v>
      </c>
      <c r="F12" s="63" t="s">
        <v>68</v>
      </c>
    </row>
    <row r="13" spans="1:6" x14ac:dyDescent="0.3">
      <c r="A13" s="67" t="s">
        <v>93</v>
      </c>
      <c r="B13" s="69">
        <f>B5/$B$4</f>
        <v>0.71271073152617903</v>
      </c>
      <c r="C13" s="69">
        <f>(SQRT(C5^2-(B13^2*$C$4^2)))/$B$4</f>
        <v>2.2613800903485175E-2</v>
      </c>
      <c r="D13" s="69">
        <f>B13-C13</f>
        <v>0.69009693062269384</v>
      </c>
      <c r="E13" s="69">
        <f>B13+C13</f>
        <v>0.73532453242966422</v>
      </c>
      <c r="F13" s="66">
        <f>(C13/1.645)/B13</f>
        <v>1.9288318279216378E-2</v>
      </c>
    </row>
    <row r="14" spans="1:6" x14ac:dyDescent="0.3">
      <c r="A14" s="67" t="s">
        <v>94</v>
      </c>
      <c r="B14" s="66">
        <f>B6/$B$4</f>
        <v>6.6969922020051989E-2</v>
      </c>
      <c r="C14" s="69">
        <f>(SQRT(C6^2-(B14^2*$C$4^2)))/$B$4</f>
        <v>1.6463866648742376E-2</v>
      </c>
      <c r="D14" s="70">
        <f>B14-C14</f>
        <v>5.0506055371309616E-2</v>
      </c>
      <c r="E14" s="66">
        <f>B14+C14</f>
        <v>8.3433788668794362E-2</v>
      </c>
      <c r="F14" s="66">
        <f>(C14/1.645)/B14</f>
        <v>0.14944663621837381</v>
      </c>
    </row>
    <row r="15" spans="1:6" ht="31.2" x14ac:dyDescent="0.3">
      <c r="A15" s="67" t="s">
        <v>95</v>
      </c>
      <c r="B15" s="66">
        <f>B7/$B$4</f>
        <v>5.2695878202747862E-2</v>
      </c>
      <c r="C15" s="69">
        <f>(SQRT(C7^2-(B15^2*$C$4^2)))/$B$4</f>
        <v>1.4822899948832895E-2</v>
      </c>
      <c r="D15" s="66">
        <f>B15-C15</f>
        <v>3.7872978253914967E-2</v>
      </c>
      <c r="E15" s="66">
        <f>B15+C15</f>
        <v>6.7518778151580749E-2</v>
      </c>
      <c r="F15" s="66">
        <f>(C15/1.645)/B15</f>
        <v>0.17099784148567551</v>
      </c>
    </row>
    <row r="16" spans="1:6" ht="31.2" x14ac:dyDescent="0.3">
      <c r="A16" s="67" t="s">
        <v>96</v>
      </c>
      <c r="B16" s="66">
        <f>B8/$B$4</f>
        <v>0.16762346825102117</v>
      </c>
      <c r="C16" s="69">
        <f>(SQRT(C8^2-(B16^2*$C$4^2)))/$B$4</f>
        <v>2.2550004171284322E-2</v>
      </c>
      <c r="D16" s="70">
        <f>B16-C16</f>
        <v>0.14507346407973684</v>
      </c>
      <c r="E16" s="66">
        <f>B16+C16</f>
        <v>0.19017347242230551</v>
      </c>
      <c r="F16" s="66">
        <f>(C16/1.645)/B16</f>
        <v>8.1779773236387077E-2</v>
      </c>
    </row>
    <row r="17" spans="1:6" x14ac:dyDescent="0.3">
      <c r="B17" s="6"/>
      <c r="C17" s="6"/>
      <c r="D17" s="6"/>
      <c r="E17" s="6"/>
      <c r="F17" s="5"/>
    </row>
    <row r="18" spans="1:6" x14ac:dyDescent="0.3">
      <c r="D18" s="5"/>
      <c r="E18" s="5"/>
      <c r="F18" s="5"/>
    </row>
    <row r="19" spans="1:6" x14ac:dyDescent="0.3">
      <c r="A19" t="s">
        <v>69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1"/>
  <sheetViews>
    <sheetView tabSelected="1" zoomScale="80" zoomScaleNormal="80" workbookViewId="0">
      <selection activeCell="G42" sqref="G42"/>
    </sheetView>
  </sheetViews>
  <sheetFormatPr defaultColWidth="11.54296875" defaultRowHeight="15.6" x14ac:dyDescent="0.3"/>
  <sheetData>
    <row r="1" spans="1:7" x14ac:dyDescent="0.3">
      <c r="A1" t="s">
        <v>29</v>
      </c>
    </row>
    <row r="2" spans="1:7" x14ac:dyDescent="0.3">
      <c r="B2" t="s">
        <v>6</v>
      </c>
      <c r="C2" t="s">
        <v>30</v>
      </c>
      <c r="D2" t="s">
        <v>31</v>
      </c>
      <c r="E2" t="s">
        <v>32</v>
      </c>
      <c r="F2" t="s">
        <v>33</v>
      </c>
    </row>
    <row r="3" spans="1:7" x14ac:dyDescent="0.3">
      <c r="A3" s="16">
        <v>2006</v>
      </c>
      <c r="B3" s="53">
        <v>227185</v>
      </c>
      <c r="C3" s="5">
        <f>152654/B3</f>
        <v>0.67193696766952038</v>
      </c>
      <c r="D3" s="5">
        <f>13619/B3</f>
        <v>5.9946739441424389E-2</v>
      </c>
      <c r="E3" s="5">
        <f>60161/B3</f>
        <v>0.26481061689812269</v>
      </c>
      <c r="F3" s="5">
        <f>751/B3</f>
        <v>3.3056759909324998E-3</v>
      </c>
      <c r="G3" s="21">
        <f t="shared" ref="G3:G9" si="0">SUM(C3:F3)</f>
        <v>0.99999999999999989</v>
      </c>
    </row>
    <row r="4" spans="1:7" x14ac:dyDescent="0.3">
      <c r="A4" s="15">
        <v>2007</v>
      </c>
      <c r="B4" s="71">
        <v>243185</v>
      </c>
      <c r="C4" s="5">
        <f>163554/B4</f>
        <v>0.6725497049571314</v>
      </c>
      <c r="D4" s="5">
        <f>18237/B4</f>
        <v>7.4992289820507027E-2</v>
      </c>
      <c r="E4" s="5">
        <f>60842/B4</f>
        <v>0.25018812837962867</v>
      </c>
      <c r="F4" s="5">
        <f>552/B4</f>
        <v>2.2698768427328988E-3</v>
      </c>
      <c r="G4" s="21">
        <f t="shared" si="0"/>
        <v>1</v>
      </c>
    </row>
    <row r="5" spans="1:7" x14ac:dyDescent="0.3">
      <c r="A5" s="16">
        <v>2008</v>
      </c>
      <c r="B5" s="53">
        <v>250642</v>
      </c>
      <c r="C5" s="5">
        <f>166985/B5</f>
        <v>0.66622912361056807</v>
      </c>
      <c r="D5" s="5">
        <f>18190/B5</f>
        <v>7.2573630915808207E-2</v>
      </c>
      <c r="E5" s="5">
        <f>63919/B5</f>
        <v>0.25502110580030479</v>
      </c>
      <c r="F5" s="5">
        <f>1548/B5</f>
        <v>6.1761396733189169E-3</v>
      </c>
      <c r="G5" s="21">
        <f t="shared" si="0"/>
        <v>0.99999999999999989</v>
      </c>
    </row>
    <row r="6" spans="1:7" x14ac:dyDescent="0.3">
      <c r="A6" s="15">
        <v>2009</v>
      </c>
      <c r="B6" s="71">
        <v>246246</v>
      </c>
      <c r="C6" s="5">
        <f>168012/B6</f>
        <v>0.68229331643965785</v>
      </c>
      <c r="D6" s="5">
        <f>17571/B6</f>
        <v>7.1355473794498178E-2</v>
      </c>
      <c r="E6" s="5">
        <f>59839/B6</f>
        <v>0.24300496251715764</v>
      </c>
      <c r="F6" s="5">
        <f>824/B6</f>
        <v>3.3462472486862731E-3</v>
      </c>
      <c r="G6" s="21">
        <f t="shared" si="0"/>
        <v>0.99999999999999989</v>
      </c>
    </row>
    <row r="7" spans="1:7" x14ac:dyDescent="0.3">
      <c r="A7" s="16">
        <v>2010</v>
      </c>
      <c r="B7" s="53">
        <v>245440</v>
      </c>
      <c r="C7" s="5">
        <f>157803/B7</f>
        <v>0.64293921121251629</v>
      </c>
      <c r="D7" s="5">
        <f>18876/B7</f>
        <v>7.6906779661016944E-2</v>
      </c>
      <c r="E7" s="5">
        <f>67118/B7</f>
        <v>0.27345990873533249</v>
      </c>
      <c r="F7" s="5">
        <f>1643/B7</f>
        <v>6.6941003911342896E-3</v>
      </c>
      <c r="G7" s="21">
        <f t="shared" si="0"/>
        <v>1</v>
      </c>
    </row>
    <row r="8" spans="1:7" x14ac:dyDescent="0.3">
      <c r="A8" s="15">
        <v>2011</v>
      </c>
      <c r="B8" s="71">
        <v>253410</v>
      </c>
      <c r="C8" s="5">
        <f>170085/B8</f>
        <v>0.6711850361074938</v>
      </c>
      <c r="D8" s="5">
        <f>15726/B8</f>
        <v>6.2057535219604595E-2</v>
      </c>
      <c r="E8" s="5">
        <f>67164/B8</f>
        <v>0.26504084290280572</v>
      </c>
      <c r="F8" s="5">
        <f>435/B8</f>
        <v>1.7165857700958921E-3</v>
      </c>
      <c r="G8" s="21">
        <f t="shared" si="0"/>
        <v>1</v>
      </c>
    </row>
    <row r="9" spans="1:7" x14ac:dyDescent="0.3">
      <c r="A9" s="17">
        <v>2012</v>
      </c>
      <c r="B9" s="53">
        <v>259810</v>
      </c>
      <c r="C9" s="5">
        <f>168837/B9</f>
        <v>0.64984796582117699</v>
      </c>
      <c r="D9" s="5">
        <f>21323/B9</f>
        <v>8.207151379854509E-2</v>
      </c>
      <c r="E9" s="5">
        <f>68109/B9</f>
        <v>0.26214926292290519</v>
      </c>
      <c r="F9" s="5">
        <f>1541/B9</f>
        <v>5.9312574573726958E-3</v>
      </c>
      <c r="G9" s="21">
        <f t="shared" si="0"/>
        <v>0.99999999999999989</v>
      </c>
    </row>
    <row r="10" spans="1:7" x14ac:dyDescent="0.3">
      <c r="A10" s="18">
        <v>2013</v>
      </c>
      <c r="B10" s="71">
        <v>260572</v>
      </c>
      <c r="C10" s="5">
        <f>175727/B10</f>
        <v>0.6743894201986399</v>
      </c>
      <c r="D10" s="5">
        <f>16063/B10</f>
        <v>6.1645149900987059E-2</v>
      </c>
      <c r="E10" s="5">
        <f>67018/B10</f>
        <v>0.25719570790414931</v>
      </c>
      <c r="F10" s="5">
        <f>1764/B10</f>
        <v>6.7697219962236923E-3</v>
      </c>
      <c r="G10" s="21">
        <f>SUM(C10:F10)</f>
        <v>1</v>
      </c>
    </row>
    <row r="11" spans="1:7" x14ac:dyDescent="0.3">
      <c r="A11" s="16">
        <v>2014</v>
      </c>
      <c r="B11" s="52">
        <v>264198</v>
      </c>
      <c r="C11" s="5">
        <f>178269/B11</f>
        <v>0.67475529716349103</v>
      </c>
      <c r="D11" s="5">
        <f>19669/B11</f>
        <v>7.4447951914851734E-2</v>
      </c>
      <c r="E11" s="5">
        <f>64525/B11</f>
        <v>0.2442297065079978</v>
      </c>
      <c r="F11" s="5">
        <f>1735/B11</f>
        <v>6.5670444136594524E-3</v>
      </c>
      <c r="G11" s="21">
        <f>SUM(C11:F11)</f>
        <v>1</v>
      </c>
    </row>
    <row r="12" spans="1:7" x14ac:dyDescent="0.3">
      <c r="A12" s="15">
        <v>2015</v>
      </c>
      <c r="B12" s="54">
        <v>267433</v>
      </c>
      <c r="C12" s="5">
        <f>193502/B12</f>
        <v>0.723553189023045</v>
      </c>
      <c r="D12" s="5">
        <f>13855/B12</f>
        <v>5.1807368574558858E-2</v>
      </c>
      <c r="E12" s="5">
        <f>58607/B12</f>
        <v>0.21914647780939525</v>
      </c>
      <c r="F12" s="5">
        <f>1469/B12</f>
        <v>5.492964593000864E-3</v>
      </c>
      <c r="G12" s="21">
        <f>SUM(C12:F12)</f>
        <v>0.99999999999999989</v>
      </c>
    </row>
    <row r="13" spans="1:7" x14ac:dyDescent="0.3">
      <c r="A13" s="17">
        <v>2016</v>
      </c>
      <c r="B13" s="53">
        <v>269117</v>
      </c>
      <c r="C13" s="5">
        <f>182082/B13</f>
        <v>0.67659047923393911</v>
      </c>
      <c r="D13" s="5">
        <f t="shared" ref="D13:D15" si="1">13855/B13</f>
        <v>5.1483183893994061E-2</v>
      </c>
      <c r="E13" s="5">
        <f t="shared" ref="E13:E15" si="2">58607/B13</f>
        <v>0.21777516842116998</v>
      </c>
      <c r="F13" s="5">
        <f t="shared" ref="F13:F15" si="3">1469/B13</f>
        <v>5.4585923594570387E-3</v>
      </c>
      <c r="G13" s="21">
        <f t="shared" ref="G13:G15" si="4">SUM(C13:F13)</f>
        <v>0.95130742390856016</v>
      </c>
    </row>
    <row r="14" spans="1:7" x14ac:dyDescent="0.3">
      <c r="A14" s="15">
        <v>2017</v>
      </c>
      <c r="B14" s="54">
        <v>270661</v>
      </c>
      <c r="C14" s="5">
        <f t="shared" ref="C14:C15" si="5">182082/B14</f>
        <v>0.67273083303468173</v>
      </c>
      <c r="D14" s="5">
        <f t="shared" si="1"/>
        <v>5.1189495346577456E-2</v>
      </c>
      <c r="E14" s="5">
        <f t="shared" si="2"/>
        <v>0.21653285844654382</v>
      </c>
      <c r="F14" s="5">
        <f t="shared" si="3"/>
        <v>5.4274535304310555E-3</v>
      </c>
      <c r="G14" s="21">
        <f>SUM(C14:F14)</f>
        <v>0.94588064035823405</v>
      </c>
    </row>
    <row r="15" spans="1:7" x14ac:dyDescent="0.3">
      <c r="A15" s="16">
        <v>2018</v>
      </c>
      <c r="B15" s="52">
        <v>269721</v>
      </c>
      <c r="C15" s="5">
        <f t="shared" si="5"/>
        <v>0.67507535564527787</v>
      </c>
      <c r="D15" s="5">
        <f t="shared" si="1"/>
        <v>5.1367894972953534E-2</v>
      </c>
      <c r="E15" s="5">
        <f t="shared" si="2"/>
        <v>0.2172874933727815</v>
      </c>
      <c r="F15" s="5">
        <f t="shared" si="3"/>
        <v>5.4463686550175923E-3</v>
      </c>
      <c r="G15" s="21">
        <f t="shared" si="4"/>
        <v>0.94917711264603055</v>
      </c>
    </row>
    <row r="16" spans="1:7" x14ac:dyDescent="0.3">
      <c r="A16" s="15">
        <v>2019</v>
      </c>
      <c r="B16" s="54">
        <v>269300</v>
      </c>
      <c r="C16" s="5">
        <f>191933/B16</f>
        <v>0.71271073152617903</v>
      </c>
      <c r="D16" s="5">
        <f>18035/B16</f>
        <v>6.6969922020051989E-2</v>
      </c>
      <c r="E16" s="5">
        <f>45141/B16</f>
        <v>0.16762346825102117</v>
      </c>
      <c r="F16" s="5">
        <f>14191/B16</f>
        <v>5.2695878202747862E-2</v>
      </c>
      <c r="G16" s="21">
        <f>SUM(C16:F16)</f>
        <v>1</v>
      </c>
    </row>
    <row r="17" spans="1:7" x14ac:dyDescent="0.3">
      <c r="A17" s="85"/>
      <c r="B17" s="52"/>
      <c r="C17" s="5"/>
      <c r="D17" s="5"/>
      <c r="E17" s="5"/>
      <c r="F17" s="5"/>
      <c r="G17" s="21"/>
    </row>
    <row r="19" spans="1:7" x14ac:dyDescent="0.3">
      <c r="A19" s="21"/>
      <c r="B19" t="s">
        <v>6</v>
      </c>
      <c r="C19" t="s">
        <v>30</v>
      </c>
      <c r="D19" s="5" t="s">
        <v>97</v>
      </c>
      <c r="E19" t="s">
        <v>32</v>
      </c>
      <c r="F19" t="s">
        <v>31</v>
      </c>
      <c r="G19" s="21"/>
    </row>
    <row r="20" spans="1:7" x14ac:dyDescent="0.3">
      <c r="A20" s="15">
        <v>2019</v>
      </c>
      <c r="B20" s="54">
        <v>269300</v>
      </c>
      <c r="C20" s="6">
        <f>191933/B20</f>
        <v>0.71271073152617903</v>
      </c>
      <c r="D20" s="6">
        <f>18035/B20</f>
        <v>6.6969922020051989E-2</v>
      </c>
      <c r="E20" s="6">
        <f>45141/B20</f>
        <v>0.16762346825102117</v>
      </c>
      <c r="F20" s="6">
        <f>14191/B20</f>
        <v>5.2695878202747862E-2</v>
      </c>
      <c r="G20" s="20">
        <f>SUM(C20:F20)</f>
        <v>1</v>
      </c>
    </row>
    <row r="21" spans="1:7" x14ac:dyDescent="0.3">
      <c r="C21" s="5"/>
      <c r="D21" s="5"/>
      <c r="E21" s="5"/>
      <c r="F21" s="5"/>
      <c r="G21" s="21"/>
    </row>
    <row r="22" spans="1:7" x14ac:dyDescent="0.3">
      <c r="A22" t="s">
        <v>72</v>
      </c>
    </row>
    <row r="24" spans="1:7" x14ac:dyDescent="0.3">
      <c r="A24" t="s">
        <v>34</v>
      </c>
    </row>
    <row r="25" spans="1:7" x14ac:dyDescent="0.3">
      <c r="B25" t="s">
        <v>36</v>
      </c>
      <c r="C25" t="s">
        <v>37</v>
      </c>
      <c r="D25" t="s">
        <v>38</v>
      </c>
    </row>
    <row r="26" spans="1:7" x14ac:dyDescent="0.3">
      <c r="A26" s="16">
        <v>2006</v>
      </c>
      <c r="B26" s="5">
        <f>6701/(6701+66725)</f>
        <v>9.126195080761583E-2</v>
      </c>
      <c r="C26" s="5">
        <f>773/(773+6321)</f>
        <v>0.10896532280800676</v>
      </c>
      <c r="D26" s="5">
        <f>8820/(8820+17128)</f>
        <v>0.33991059041159244</v>
      </c>
    </row>
    <row r="27" spans="1:7" x14ac:dyDescent="0.3">
      <c r="A27" s="15">
        <v>2007</v>
      </c>
      <c r="B27" s="5">
        <f>6582/(6582+72156)</f>
        <v>8.35936904671188E-2</v>
      </c>
      <c r="C27" s="5">
        <f>1475/(1475+7603)</f>
        <v>0.16248072262612911</v>
      </c>
      <c r="D27" s="5">
        <f>9138/(9138+17958)</f>
        <v>0.33724534986713905</v>
      </c>
    </row>
    <row r="28" spans="1:7" x14ac:dyDescent="0.3">
      <c r="A28" s="16">
        <v>2008</v>
      </c>
      <c r="B28" s="5">
        <f>6655/(6655+75694)</f>
        <v>8.0814581840702379E-2</v>
      </c>
      <c r="C28" s="5">
        <f>2291/(2291+7243)</f>
        <v>0.24029788126704427</v>
      </c>
      <c r="D28" s="5">
        <f>8299/(8299+19671)</f>
        <v>0.29671076153021092</v>
      </c>
    </row>
    <row r="29" spans="1:7" x14ac:dyDescent="0.3">
      <c r="A29" s="15">
        <v>2009</v>
      </c>
      <c r="B29" s="5">
        <f>8871/(8871+76386)</f>
        <v>0.10405010732256589</v>
      </c>
      <c r="C29" s="5">
        <f>2556/(2556+6541)</f>
        <v>0.28097174892821808</v>
      </c>
      <c r="D29" s="5">
        <f>11135/(11135+17052)</f>
        <v>0.39504026678965481</v>
      </c>
    </row>
    <row r="30" spans="1:7" x14ac:dyDescent="0.3">
      <c r="A30" s="16">
        <v>2010</v>
      </c>
      <c r="B30" s="5">
        <f>8941/(8941+72441)</f>
        <v>0.10986458922120371</v>
      </c>
      <c r="C30" s="5">
        <f>1711/(1711+7500)</f>
        <v>0.18575616111171425</v>
      </c>
      <c r="D30" s="5">
        <f>14266/(14266+18528)</f>
        <v>0.43501860096359091</v>
      </c>
    </row>
    <row r="31" spans="1:7" x14ac:dyDescent="0.3">
      <c r="A31" s="15">
        <v>2011</v>
      </c>
      <c r="B31" s="5">
        <f>8022/(8022+72116)</f>
        <v>0.10010232349197634</v>
      </c>
      <c r="C31" s="5">
        <f>2281/(2281+5221)</f>
        <v>0.30405225273260467</v>
      </c>
      <c r="D31" s="5">
        <f>13075/(13075+14135)</f>
        <v>0.48052186696067622</v>
      </c>
    </row>
    <row r="32" spans="1:7" x14ac:dyDescent="0.3">
      <c r="A32" s="17">
        <v>2012</v>
      </c>
      <c r="B32" s="5">
        <f>7561/(7561+70477)</f>
        <v>9.6888695251031554E-2</v>
      </c>
      <c r="C32" s="5">
        <f>2659/(2659+7704)</f>
        <v>0.25658593071504393</v>
      </c>
      <c r="D32" s="5">
        <f>12909/(12909+14963)</f>
        <v>0.46315298507462688</v>
      </c>
    </row>
    <row r="33" spans="1:7" x14ac:dyDescent="0.3">
      <c r="A33" s="18">
        <v>2013</v>
      </c>
      <c r="B33" s="5">
        <f>7732/(7732+75057)</f>
        <v>9.3394049934169998E-2</v>
      </c>
      <c r="C33" s="5">
        <f>1729/(1729+5908)</f>
        <v>0.22639780018331807</v>
      </c>
      <c r="D33" s="5">
        <f>10769/(10769+18894)</f>
        <v>0.36304487071435798</v>
      </c>
    </row>
    <row r="34" spans="1:7" x14ac:dyDescent="0.3">
      <c r="A34" s="16">
        <v>2014</v>
      </c>
      <c r="B34" s="5">
        <f>8117/(8117+73852)</f>
        <v>9.9025241249740756E-2</v>
      </c>
      <c r="C34" s="5">
        <f>1667/(1667+6977)</f>
        <v>0.19285053216103656</v>
      </c>
      <c r="D34" s="5">
        <f>11834/(11834+17338)</f>
        <v>0.40566296448649392</v>
      </c>
    </row>
    <row r="35" spans="1:7" x14ac:dyDescent="0.3">
      <c r="A35" s="15">
        <v>2015</v>
      </c>
      <c r="B35" s="5">
        <f>6192/(6192+85672)</f>
        <v>6.7403988504746146E-2</v>
      </c>
      <c r="C35" s="5">
        <f>601/(601+7384)</f>
        <v>7.5266123982467126E-2</v>
      </c>
      <c r="D35" s="5">
        <f>10089/(10089+15098)</f>
        <v>0.40056378290387901</v>
      </c>
    </row>
    <row r="36" spans="1:7" x14ac:dyDescent="0.3">
      <c r="A36" s="17">
        <v>2016</v>
      </c>
      <c r="B36" s="5">
        <f>3718/(3718+82396)</f>
        <v>4.3175325731007734E-2</v>
      </c>
      <c r="C36" s="5">
        <f>693/(693+6574)</f>
        <v>9.53625980459612E-2</v>
      </c>
      <c r="D36" s="5">
        <f>10116/(10116+18459)</f>
        <v>0.35401574803149605</v>
      </c>
    </row>
    <row r="37" spans="1:7" x14ac:dyDescent="0.3">
      <c r="A37" s="15">
        <v>2017</v>
      </c>
      <c r="B37" s="5">
        <v>5.5791801326756249E-2</v>
      </c>
      <c r="C37" s="5">
        <v>6.953883495145631E-2</v>
      </c>
      <c r="D37" s="5">
        <v>0.29502440695384086</v>
      </c>
      <c r="E37" s="5"/>
      <c r="F37" s="5"/>
      <c r="G37" s="21"/>
    </row>
    <row r="38" spans="1:7" x14ac:dyDescent="0.3">
      <c r="A38" s="16">
        <v>2018</v>
      </c>
      <c r="B38" s="5">
        <v>7.6102176348215714E-2</v>
      </c>
      <c r="C38" s="5">
        <v>7.5788751714677638E-2</v>
      </c>
      <c r="D38" s="5">
        <v>0.35869236583522296</v>
      </c>
    </row>
    <row r="39" spans="1:7" x14ac:dyDescent="0.3">
      <c r="A39" s="15">
        <v>2019</v>
      </c>
      <c r="B39" s="5">
        <v>4.2374881964117095E-2</v>
      </c>
      <c r="C39" s="5">
        <v>0.17661667781067913</v>
      </c>
      <c r="D39" s="5">
        <v>0.36939024390243902</v>
      </c>
    </row>
    <row r="40" spans="1:7" x14ac:dyDescent="0.3">
      <c r="C40" s="5"/>
      <c r="D40" s="5"/>
    </row>
    <row r="41" spans="1:7" x14ac:dyDescent="0.3">
      <c r="A41" t="s">
        <v>35</v>
      </c>
    </row>
  </sheetData>
  <pageMargins left="0.75" right="0.75" top="1" bottom="1" header="0.5" footer="0.5"/>
  <pageSetup orientation="portrait" horizontalDpi="4294967292" verticalDpi="429496729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86"/>
  <sheetViews>
    <sheetView topLeftCell="I31" zoomScale="60" zoomScaleNormal="60" workbookViewId="0">
      <selection activeCell="X63" sqref="X63"/>
    </sheetView>
  </sheetViews>
  <sheetFormatPr defaultRowHeight="15.6" x14ac:dyDescent="0.3"/>
  <cols>
    <col min="1" max="1" width="25" customWidth="1"/>
    <col min="8" max="8" width="11.26953125" customWidth="1"/>
    <col min="10" max="10" width="10.453125" bestFit="1" customWidth="1"/>
    <col min="11" max="11" width="10.08984375" bestFit="1" customWidth="1"/>
    <col min="12" max="12" width="10.1796875" bestFit="1" customWidth="1"/>
    <col min="13" max="13" width="11.36328125" bestFit="1" customWidth="1"/>
    <col min="16" max="16" width="9.453125" bestFit="1" customWidth="1"/>
    <col min="25" max="25" width="10.54296875" bestFit="1" customWidth="1"/>
  </cols>
  <sheetData>
    <row r="1" spans="1:16" x14ac:dyDescent="0.3">
      <c r="A1" s="19" t="s">
        <v>58</v>
      </c>
    </row>
    <row r="2" spans="1:16" x14ac:dyDescent="0.3">
      <c r="B2">
        <v>2005</v>
      </c>
      <c r="C2">
        <v>2006</v>
      </c>
      <c r="D2">
        <v>2007</v>
      </c>
      <c r="E2">
        <v>2008</v>
      </c>
      <c r="F2">
        <v>2009</v>
      </c>
      <c r="G2">
        <v>2010</v>
      </c>
      <c r="H2">
        <v>2011</v>
      </c>
      <c r="I2">
        <v>2012</v>
      </c>
      <c r="J2">
        <v>2013</v>
      </c>
      <c r="K2">
        <v>2014</v>
      </c>
      <c r="L2">
        <v>2015</v>
      </c>
      <c r="M2">
        <v>2016</v>
      </c>
      <c r="N2">
        <v>2017</v>
      </c>
      <c r="O2">
        <v>2018</v>
      </c>
      <c r="P2">
        <v>2019</v>
      </c>
    </row>
    <row r="3" spans="1:16" x14ac:dyDescent="0.3">
      <c r="A3" t="s">
        <v>54</v>
      </c>
      <c r="B3" s="22">
        <v>13927</v>
      </c>
      <c r="C3" s="22">
        <v>18564</v>
      </c>
      <c r="D3" s="22">
        <v>16811</v>
      </c>
      <c r="E3" s="22">
        <v>18367</v>
      </c>
      <c r="F3" s="22">
        <v>21585</v>
      </c>
      <c r="G3" s="22">
        <v>21871</v>
      </c>
      <c r="H3" s="22">
        <v>22537</v>
      </c>
      <c r="I3" s="22">
        <v>22575</v>
      </c>
      <c r="J3" s="22">
        <v>21806</v>
      </c>
      <c r="K3" s="33">
        <v>24671</v>
      </c>
      <c r="L3" s="33">
        <v>17445</v>
      </c>
      <c r="M3" s="33">
        <v>12927</v>
      </c>
      <c r="N3" s="33">
        <v>16721</v>
      </c>
      <c r="O3" s="33">
        <v>17110</v>
      </c>
      <c r="P3" s="33">
        <v>8320</v>
      </c>
    </row>
    <row r="4" spans="1:16" x14ac:dyDescent="0.3">
      <c r="A4" t="s">
        <v>55</v>
      </c>
      <c r="B4" s="22">
        <v>4614</v>
      </c>
      <c r="C4" s="22">
        <v>1801</v>
      </c>
      <c r="D4" s="22">
        <v>3685</v>
      </c>
      <c r="E4" s="22">
        <v>4436</v>
      </c>
      <c r="F4" s="22">
        <v>6075</v>
      </c>
      <c r="G4" s="22">
        <v>4601</v>
      </c>
      <c r="H4" s="22">
        <v>5969</v>
      </c>
      <c r="I4" s="22">
        <v>6505</v>
      </c>
      <c r="J4" s="22">
        <v>4108</v>
      </c>
      <c r="K4" s="33">
        <v>5860</v>
      </c>
      <c r="L4" s="33">
        <v>1343</v>
      </c>
      <c r="M4" s="33">
        <v>1306</v>
      </c>
      <c r="N4" s="33">
        <v>1305</v>
      </c>
      <c r="O4" s="33">
        <v>2127</v>
      </c>
      <c r="P4" s="33">
        <v>5052</v>
      </c>
    </row>
    <row r="5" spans="1:16" x14ac:dyDescent="0.3">
      <c r="A5" t="s">
        <v>56</v>
      </c>
      <c r="B5" s="22">
        <v>25922</v>
      </c>
      <c r="C5" s="22">
        <v>24853</v>
      </c>
      <c r="D5" s="22">
        <v>24383</v>
      </c>
      <c r="E5" s="22">
        <v>24008</v>
      </c>
      <c r="F5" s="22">
        <v>28510</v>
      </c>
      <c r="G5" s="22">
        <v>34863</v>
      </c>
      <c r="H5" s="22">
        <v>34594</v>
      </c>
      <c r="I5" s="22">
        <v>38492</v>
      </c>
      <c r="J5" s="22">
        <v>28320</v>
      </c>
      <c r="K5" s="33">
        <v>32026</v>
      </c>
      <c r="L5" s="33">
        <v>29530</v>
      </c>
      <c r="M5" s="33">
        <v>29590</v>
      </c>
      <c r="N5" s="33">
        <v>20867</v>
      </c>
      <c r="O5" s="33">
        <v>22181</v>
      </c>
      <c r="P5" s="33">
        <v>22741</v>
      </c>
    </row>
    <row r="7" spans="1:16" x14ac:dyDescent="0.3">
      <c r="A7" s="19" t="s">
        <v>61</v>
      </c>
    </row>
    <row r="8" spans="1:16" x14ac:dyDescent="0.3">
      <c r="B8">
        <v>2005</v>
      </c>
      <c r="C8">
        <v>2006</v>
      </c>
      <c r="D8">
        <v>2007</v>
      </c>
      <c r="E8">
        <v>2008</v>
      </c>
      <c r="F8">
        <v>2009</v>
      </c>
      <c r="G8">
        <v>2010</v>
      </c>
      <c r="H8">
        <v>2011</v>
      </c>
      <c r="I8">
        <v>2012</v>
      </c>
      <c r="J8">
        <v>2013</v>
      </c>
      <c r="K8">
        <v>2014</v>
      </c>
      <c r="L8">
        <v>2015</v>
      </c>
      <c r="M8">
        <v>2016</v>
      </c>
      <c r="N8" s="56">
        <v>2017</v>
      </c>
      <c r="O8" s="56">
        <v>2018</v>
      </c>
      <c r="P8" s="56">
        <v>2019</v>
      </c>
    </row>
    <row r="9" spans="1:16" x14ac:dyDescent="0.3">
      <c r="A9" t="s">
        <v>54</v>
      </c>
      <c r="B9" s="21">
        <f>B3/D179</f>
        <v>9.6339953376083448E-2</v>
      </c>
      <c r="C9" s="21">
        <v>0.12227637992359373</v>
      </c>
      <c r="D9" s="21">
        <v>0.10298649186755292</v>
      </c>
      <c r="E9" s="21">
        <v>0.11046291340145424</v>
      </c>
      <c r="F9" s="21">
        <v>0.12912082981892575</v>
      </c>
      <c r="G9" s="21">
        <v>0.13902767712981681</v>
      </c>
      <c r="H9" s="21">
        <v>0.13294439659749177</v>
      </c>
      <c r="I9" s="21">
        <v>0.1343006549945566</v>
      </c>
      <c r="J9" s="21">
        <v>0.12541193386053198</v>
      </c>
      <c r="K9" s="5">
        <v>0.13908871549702329</v>
      </c>
      <c r="L9" s="5">
        <v>9.0356765491951027E-2</v>
      </c>
      <c r="M9" s="5">
        <v>7.1204309604071647E-2</v>
      </c>
      <c r="N9" s="5">
        <v>8.6002314517166001E-2</v>
      </c>
      <c r="O9" s="5">
        <v>9.2281969688797802E-2</v>
      </c>
      <c r="P9" s="5">
        <v>4.3465086877932067E-2</v>
      </c>
    </row>
    <row r="10" spans="1:16" x14ac:dyDescent="0.3">
      <c r="A10" t="s">
        <v>55</v>
      </c>
      <c r="B10" s="21">
        <v>0.31066523027201726</v>
      </c>
      <c r="C10" s="21">
        <v>0.13657389853643739</v>
      </c>
      <c r="D10" s="21">
        <v>0.20493854624325678</v>
      </c>
      <c r="E10" s="21">
        <v>0.24618458294022977</v>
      </c>
      <c r="F10" s="21">
        <v>0.3488973121984838</v>
      </c>
      <c r="G10" s="21">
        <v>0.24647774146890233</v>
      </c>
      <c r="H10" s="21">
        <v>0.38316857106175378</v>
      </c>
      <c r="I10" s="21">
        <v>0.32201376169496559</v>
      </c>
      <c r="J10" s="21">
        <v>0.26165884194053207</v>
      </c>
      <c r="K10" s="5">
        <v>0.30387886330636799</v>
      </c>
      <c r="L10" s="5">
        <v>9.8165338791024043E-2</v>
      </c>
      <c r="M10" s="5">
        <v>8.973478081627044E-2</v>
      </c>
      <c r="N10" s="5">
        <v>7.5246497145822516E-2</v>
      </c>
      <c r="O10" s="5">
        <v>8.7675185490519378E-2</v>
      </c>
      <c r="P10" s="5">
        <v>0.23314412294060641</v>
      </c>
    </row>
    <row r="11" spans="1:16" x14ac:dyDescent="0.3">
      <c r="A11" t="s">
        <v>56</v>
      </c>
      <c r="B11" s="21">
        <v>0.4951198548371693</v>
      </c>
      <c r="C11" s="21">
        <v>0.41847112308469442</v>
      </c>
      <c r="D11" s="21">
        <v>0.40432129473020928</v>
      </c>
      <c r="E11" s="21">
        <v>0.37588852356348834</v>
      </c>
      <c r="F11" s="21">
        <v>0.47877342647947874</v>
      </c>
      <c r="G11" s="21">
        <v>0.52020352741054643</v>
      </c>
      <c r="H11" s="21">
        <v>0.52059412198462029</v>
      </c>
      <c r="I11" s="21">
        <v>0.56602552791012295</v>
      </c>
      <c r="J11" s="21">
        <v>0.43289513910119232</v>
      </c>
      <c r="K11" s="5">
        <v>0.5001249297270286</v>
      </c>
      <c r="L11" s="5">
        <v>0.50660490650197287</v>
      </c>
      <c r="M11" s="5">
        <v>0.41475106526126937</v>
      </c>
      <c r="N11" s="5">
        <v>0.37076455642223843</v>
      </c>
      <c r="O11" s="5">
        <v>0.39502413136008263</v>
      </c>
      <c r="P11" s="5">
        <v>0.43923590991617412</v>
      </c>
    </row>
    <row r="13" spans="1:16" x14ac:dyDescent="0.3">
      <c r="A13" t="s">
        <v>62</v>
      </c>
    </row>
    <row r="17" spans="1:27" x14ac:dyDescent="0.3">
      <c r="A17">
        <v>2019</v>
      </c>
    </row>
    <row r="18" spans="1:27" x14ac:dyDescent="0.3">
      <c r="A18" t="s">
        <v>53</v>
      </c>
      <c r="D18" t="s">
        <v>59</v>
      </c>
      <c r="E18" t="s">
        <v>60</v>
      </c>
      <c r="F18" t="s">
        <v>63</v>
      </c>
    </row>
    <row r="19" spans="1:27" x14ac:dyDescent="0.3">
      <c r="A19" t="s">
        <v>54</v>
      </c>
      <c r="D19" s="22">
        <v>191418</v>
      </c>
      <c r="E19" s="33">
        <v>7611.6082400501937</v>
      </c>
      <c r="F19" s="5">
        <f>(E19/1.645)/D19</f>
        <v>2.4172844095932112E-2</v>
      </c>
      <c r="H19" s="5">
        <f>D19/(SUM(D19:D21))</f>
        <v>0.7227111579281208</v>
      </c>
    </row>
    <row r="20" spans="1:27" x14ac:dyDescent="0.3">
      <c r="A20" t="s">
        <v>55</v>
      </c>
      <c r="D20" s="22">
        <v>21669</v>
      </c>
      <c r="E20" s="33">
        <v>5051.3777328566512</v>
      </c>
      <c r="F20" s="5">
        <f>(E20/1.645)/D20</f>
        <v>0.14171149301592587</v>
      </c>
      <c r="H20" s="5">
        <f>D20/(SUM(D19:D21))</f>
        <v>8.181272441016231E-2</v>
      </c>
    </row>
    <row r="21" spans="1:27" x14ac:dyDescent="0.3">
      <c r="A21" t="s">
        <v>56</v>
      </c>
      <c r="D21" s="22">
        <v>51774</v>
      </c>
      <c r="E21" s="33">
        <v>6716.7142264651993</v>
      </c>
      <c r="F21" s="5">
        <f>(E21/1.645)/D21</f>
        <v>7.8864081435826475E-2</v>
      </c>
      <c r="H21" s="5">
        <f>D21/(SUM(D19:D21))</f>
        <v>0.19547611766171691</v>
      </c>
    </row>
    <row r="22" spans="1:27" x14ac:dyDescent="0.3">
      <c r="J22" t="s">
        <v>40</v>
      </c>
      <c r="M22">
        <v>2005</v>
      </c>
      <c r="N22">
        <v>2006</v>
      </c>
      <c r="O22">
        <v>2007</v>
      </c>
      <c r="P22">
        <v>2008</v>
      </c>
      <c r="Q22">
        <v>2009</v>
      </c>
      <c r="R22">
        <v>2010</v>
      </c>
      <c r="S22">
        <v>2011</v>
      </c>
      <c r="T22">
        <v>2012</v>
      </c>
      <c r="U22">
        <v>2013</v>
      </c>
      <c r="V22">
        <v>2014</v>
      </c>
      <c r="W22">
        <v>2015</v>
      </c>
      <c r="X22">
        <v>2016</v>
      </c>
      <c r="Y22">
        <v>2017</v>
      </c>
      <c r="Z22">
        <v>2018</v>
      </c>
      <c r="AA22">
        <v>2019</v>
      </c>
    </row>
    <row r="23" spans="1:27" x14ac:dyDescent="0.3">
      <c r="A23" t="s">
        <v>57</v>
      </c>
      <c r="D23" t="s">
        <v>59</v>
      </c>
      <c r="E23" t="s">
        <v>60</v>
      </c>
      <c r="F23" t="s">
        <v>63</v>
      </c>
      <c r="J23" t="s">
        <v>54</v>
      </c>
      <c r="M23" s="34">
        <v>144561</v>
      </c>
      <c r="N23" s="34">
        <v>151820</v>
      </c>
      <c r="O23" s="34">
        <v>163235</v>
      </c>
      <c r="P23" s="34">
        <v>166273</v>
      </c>
      <c r="Q23" s="34">
        <v>167169</v>
      </c>
      <c r="R23" s="34">
        <v>157314</v>
      </c>
      <c r="S23" s="34">
        <v>169522</v>
      </c>
      <c r="T23" s="34">
        <v>168093</v>
      </c>
      <c r="U23" s="34">
        <v>173875</v>
      </c>
      <c r="V23" s="34">
        <f>D79</f>
        <v>177376</v>
      </c>
      <c r="W23" s="22">
        <f>D67</f>
        <v>193068</v>
      </c>
      <c r="X23" s="22">
        <f>D55</f>
        <v>181548</v>
      </c>
      <c r="Y23" s="33">
        <f>D43</f>
        <v>194425</v>
      </c>
      <c r="Z23" s="22">
        <f>D31</f>
        <v>185410</v>
      </c>
      <c r="AA23" s="22">
        <f>D19</f>
        <v>191418</v>
      </c>
    </row>
    <row r="24" spans="1:27" x14ac:dyDescent="0.3">
      <c r="A24" t="s">
        <v>54</v>
      </c>
      <c r="D24" s="21">
        <v>4.3465086877932067E-2</v>
      </c>
      <c r="E24" s="21">
        <v>1.7970861181087823E-2</v>
      </c>
      <c r="F24" s="5">
        <f>(E24/1.645)/D24</f>
        <v>0.25134047708392776</v>
      </c>
      <c r="J24" t="s">
        <v>55</v>
      </c>
      <c r="M24" s="34">
        <v>14852</v>
      </c>
      <c r="N24" s="34">
        <v>13187</v>
      </c>
      <c r="O24" s="34">
        <v>17981</v>
      </c>
      <c r="P24" s="34">
        <v>18019</v>
      </c>
      <c r="Q24" s="34">
        <v>17412</v>
      </c>
      <c r="R24" s="34">
        <v>18667</v>
      </c>
      <c r="S24" s="34">
        <v>15578</v>
      </c>
      <c r="T24" s="34">
        <v>20201</v>
      </c>
      <c r="U24" s="34">
        <v>15975</v>
      </c>
      <c r="V24" s="34">
        <f t="shared" ref="V24:V25" si="0">D80</f>
        <v>19284</v>
      </c>
      <c r="W24" s="22">
        <f t="shared" ref="W24:W25" si="1">D68</f>
        <v>13681</v>
      </c>
      <c r="X24" s="22">
        <f t="shared" ref="X24:X25" si="2">D56</f>
        <v>14554</v>
      </c>
      <c r="Y24" s="33">
        <f t="shared" ref="Y24:Y25" si="3">D44</f>
        <v>17343</v>
      </c>
      <c r="Z24" s="22">
        <f t="shared" ref="Z24:Z25" si="4">D32</f>
        <v>24260</v>
      </c>
      <c r="AA24" s="22">
        <f t="shared" ref="AA24:AA25" si="5">D20</f>
        <v>21669</v>
      </c>
    </row>
    <row r="25" spans="1:27" x14ac:dyDescent="0.3">
      <c r="A25" t="s">
        <v>55</v>
      </c>
      <c r="D25" s="21">
        <v>0.23314412294060641</v>
      </c>
      <c r="E25" s="21">
        <v>0.14290862993456224</v>
      </c>
      <c r="F25" s="5">
        <f>(E25/1.645)/D25</f>
        <v>0.37262164697504968</v>
      </c>
      <c r="J25" t="s">
        <v>56</v>
      </c>
      <c r="M25" s="34">
        <v>52355</v>
      </c>
      <c r="N25" s="34">
        <v>59390</v>
      </c>
      <c r="O25" s="34">
        <v>60306</v>
      </c>
      <c r="P25" s="34">
        <v>63870</v>
      </c>
      <c r="Q25" s="34">
        <v>59548</v>
      </c>
      <c r="R25" s="34">
        <v>67018</v>
      </c>
      <c r="S25" s="34">
        <v>66451</v>
      </c>
      <c r="T25" s="34">
        <v>68004</v>
      </c>
      <c r="U25" s="34">
        <v>65420</v>
      </c>
      <c r="V25" s="34">
        <f t="shared" si="0"/>
        <v>64036</v>
      </c>
      <c r="W25" s="22">
        <f t="shared" si="1"/>
        <v>58290</v>
      </c>
      <c r="X25" s="22">
        <f t="shared" si="2"/>
        <v>71344</v>
      </c>
      <c r="Y25" s="33">
        <f t="shared" si="3"/>
        <v>56281</v>
      </c>
      <c r="Z25" s="22">
        <f t="shared" si="4"/>
        <v>56151</v>
      </c>
      <c r="AA25" s="22">
        <f t="shared" si="5"/>
        <v>51774</v>
      </c>
    </row>
    <row r="26" spans="1:27" x14ac:dyDescent="0.3">
      <c r="A26" t="s">
        <v>56</v>
      </c>
      <c r="D26" s="21">
        <v>0.43923590991617412</v>
      </c>
      <c r="E26" s="21">
        <v>0.11388286099186637</v>
      </c>
      <c r="F26" s="5">
        <f>(E26/1.645)/D26</f>
        <v>0.15761394086341887</v>
      </c>
    </row>
    <row r="27" spans="1:27" x14ac:dyDescent="0.3">
      <c r="J27" t="s">
        <v>60</v>
      </c>
      <c r="M27">
        <v>2005</v>
      </c>
      <c r="N27">
        <v>2006</v>
      </c>
      <c r="O27">
        <v>2007</v>
      </c>
      <c r="P27">
        <v>2008</v>
      </c>
      <c r="Q27">
        <v>2009</v>
      </c>
      <c r="R27">
        <v>2010</v>
      </c>
      <c r="S27">
        <v>2011</v>
      </c>
      <c r="T27">
        <v>2012</v>
      </c>
      <c r="U27">
        <v>2013</v>
      </c>
      <c r="V27">
        <v>2014</v>
      </c>
      <c r="W27">
        <v>2015</v>
      </c>
      <c r="X27">
        <v>2016</v>
      </c>
      <c r="Y27">
        <v>2017</v>
      </c>
      <c r="Z27">
        <v>2018</v>
      </c>
      <c r="AA27">
        <v>2019</v>
      </c>
    </row>
    <row r="28" spans="1:27" x14ac:dyDescent="0.3">
      <c r="G28" s="21"/>
      <c r="H28" s="21"/>
      <c r="J28" t="s">
        <v>54</v>
      </c>
      <c r="M28" s="33">
        <v>8160.0059436252859</v>
      </c>
      <c r="N28" s="33">
        <v>6823.8980062717819</v>
      </c>
      <c r="O28" s="33">
        <v>7699.5291414475469</v>
      </c>
      <c r="P28" s="33">
        <v>7639.9482328089107</v>
      </c>
      <c r="Q28" s="33">
        <v>7531.0292789232999</v>
      </c>
      <c r="R28" s="33">
        <v>7382.3658132064957</v>
      </c>
      <c r="S28" s="33">
        <v>9447.9691997804475</v>
      </c>
      <c r="T28" s="33">
        <v>8392.8384352375087</v>
      </c>
      <c r="U28" s="33">
        <v>7921.6918647470757</v>
      </c>
      <c r="V28" s="33">
        <f>E79</f>
        <v>7189.9474963312496</v>
      </c>
      <c r="W28" s="78">
        <f>E67</f>
        <v>7753.4289833595558</v>
      </c>
      <c r="X28" s="33">
        <f>E55</f>
        <v>8633.1946578308998</v>
      </c>
      <c r="Y28" s="33">
        <f>E43</f>
        <v>9023.5838778170619</v>
      </c>
      <c r="Z28" s="79">
        <f>E31</f>
        <v>8297.0696031791849</v>
      </c>
      <c r="AA28" s="78">
        <f>E19</f>
        <v>7611.6082400501937</v>
      </c>
    </row>
    <row r="29" spans="1:27" x14ac:dyDescent="0.3">
      <c r="A29">
        <v>2018</v>
      </c>
      <c r="G29" s="21"/>
      <c r="H29" s="21"/>
      <c r="J29" t="s">
        <v>55</v>
      </c>
      <c r="M29" s="33">
        <v>3867.1863156563845</v>
      </c>
      <c r="N29" s="33">
        <v>2626.7535095627072</v>
      </c>
      <c r="O29" s="33">
        <v>3944.9493025893248</v>
      </c>
      <c r="P29" s="33">
        <v>3157.4155570656203</v>
      </c>
      <c r="Q29" s="33">
        <v>3326.784182961077</v>
      </c>
      <c r="R29" s="33">
        <v>3741.3875768222679</v>
      </c>
      <c r="S29" s="33">
        <v>3767.0712762038365</v>
      </c>
      <c r="T29" s="33">
        <v>4151.0780527472616</v>
      </c>
      <c r="U29" s="33">
        <v>3720.5565443895621</v>
      </c>
      <c r="V29" s="33">
        <f t="shared" ref="V29:V30" si="6">E80</f>
        <v>4170.7908123040643</v>
      </c>
      <c r="W29" s="78">
        <f t="shared" ref="W29:W30" si="7">E68</f>
        <v>3003.7844463276656</v>
      </c>
      <c r="X29" s="33">
        <f t="shared" ref="X29:X30" si="8">E56</f>
        <v>3673.0589431698481</v>
      </c>
      <c r="Y29" s="33">
        <f t="shared" ref="Y29:Y30" si="9">E44</f>
        <v>4162.1466817016435</v>
      </c>
      <c r="Z29" s="79">
        <f t="shared" ref="Z29:Z30" si="10">E32</f>
        <v>5240.8248396602612</v>
      </c>
      <c r="AA29" s="78">
        <f t="shared" ref="AA29:AA30" si="11">E20</f>
        <v>5051.3777328566512</v>
      </c>
    </row>
    <row r="30" spans="1:27" x14ac:dyDescent="0.3">
      <c r="A30" t="s">
        <v>53</v>
      </c>
      <c r="D30" t="s">
        <v>59</v>
      </c>
      <c r="E30" t="s">
        <v>60</v>
      </c>
      <c r="F30" t="s">
        <v>63</v>
      </c>
      <c r="G30" s="21"/>
      <c r="H30" s="21"/>
      <c r="J30" t="s">
        <v>56</v>
      </c>
      <c r="M30" s="33">
        <v>6016.2125128688731</v>
      </c>
      <c r="N30" s="33">
        <v>6835.8780708845297</v>
      </c>
      <c r="O30" s="33">
        <v>6466.10462334163</v>
      </c>
      <c r="P30" s="33">
        <v>6885.0477122529801</v>
      </c>
      <c r="Q30" s="33">
        <v>6635.6160226462771</v>
      </c>
      <c r="R30" s="33">
        <v>6290.4235946397121</v>
      </c>
      <c r="S30" s="33">
        <v>7656.0398379318794</v>
      </c>
      <c r="T30" s="33">
        <v>7695.8134722717914</v>
      </c>
      <c r="U30" s="33">
        <v>7378.3934565730497</v>
      </c>
      <c r="V30" s="33">
        <f t="shared" si="6"/>
        <v>5768.1834228810721</v>
      </c>
      <c r="W30" s="78">
        <f t="shared" si="7"/>
        <v>6867.903464668093</v>
      </c>
      <c r="X30" s="33">
        <f t="shared" si="8"/>
        <v>8554.7144896834525</v>
      </c>
      <c r="Y30" s="33">
        <f t="shared" si="9"/>
        <v>6782.5259306544494</v>
      </c>
      <c r="Z30" s="79">
        <f t="shared" si="10"/>
        <v>7407.9347999290594</v>
      </c>
      <c r="AA30" s="78">
        <f t="shared" si="11"/>
        <v>6716.7142264651993</v>
      </c>
    </row>
    <row r="31" spans="1:27" x14ac:dyDescent="0.3">
      <c r="A31" t="s">
        <v>54</v>
      </c>
      <c r="D31" s="22">
        <v>185410</v>
      </c>
      <c r="E31" s="79">
        <v>8297.0696031791849</v>
      </c>
      <c r="F31" s="5">
        <f>(E31/1.645)/D31</f>
        <v>2.7203555951262157E-2</v>
      </c>
      <c r="H31" s="5">
        <f>D31/(SUM(D31:D33))</f>
        <v>0.69749944511532191</v>
      </c>
    </row>
    <row r="32" spans="1:27" x14ac:dyDescent="0.3">
      <c r="A32" t="s">
        <v>55</v>
      </c>
      <c r="D32" s="22">
        <v>24260</v>
      </c>
      <c r="E32" s="79">
        <v>5240.8248396602612</v>
      </c>
      <c r="F32" s="5">
        <f>(E32/1.645)/D32</f>
        <v>0.13132365031460749</v>
      </c>
      <c r="H32" s="5">
        <f>D32/(SUM(D31:D33))</f>
        <v>9.1264422299216386E-2</v>
      </c>
      <c r="J32" t="s">
        <v>40</v>
      </c>
      <c r="M32">
        <v>2005</v>
      </c>
      <c r="N32">
        <v>2006</v>
      </c>
      <c r="O32">
        <v>2007</v>
      </c>
      <c r="P32">
        <v>2008</v>
      </c>
      <c r="Q32">
        <v>2009</v>
      </c>
      <c r="R32">
        <v>2010</v>
      </c>
      <c r="S32">
        <v>2011</v>
      </c>
      <c r="T32">
        <v>2012</v>
      </c>
      <c r="U32">
        <v>2013</v>
      </c>
      <c r="V32">
        <v>2014</v>
      </c>
      <c r="W32">
        <v>2015</v>
      </c>
      <c r="X32">
        <v>2016</v>
      </c>
      <c r="Y32">
        <v>2017</v>
      </c>
      <c r="Z32">
        <v>2018</v>
      </c>
      <c r="AA32">
        <v>2019</v>
      </c>
    </row>
    <row r="33" spans="1:27" x14ac:dyDescent="0.3">
      <c r="A33" t="s">
        <v>56</v>
      </c>
      <c r="D33" s="22">
        <v>56151</v>
      </c>
      <c r="E33" s="79">
        <v>7407.9347999290594</v>
      </c>
      <c r="F33" s="5">
        <f>(E33/1.645)/D33</f>
        <v>8.0199886551336738E-2</v>
      </c>
      <c r="H33" s="5">
        <f>D33/(SUM(D31:D33))</f>
        <v>0.21123613258546164</v>
      </c>
      <c r="J33" t="s">
        <v>54</v>
      </c>
      <c r="M33" s="5">
        <v>9.6339953376083448E-2</v>
      </c>
      <c r="N33" s="5">
        <v>0.12227637992359373</v>
      </c>
      <c r="O33" s="5">
        <v>0.10298649186755292</v>
      </c>
      <c r="P33" s="5">
        <v>0.11046291340145424</v>
      </c>
      <c r="Q33" s="5">
        <v>0.12912082981892575</v>
      </c>
      <c r="R33" s="5">
        <v>0.13902767712981681</v>
      </c>
      <c r="S33" s="5">
        <v>0.13294439659749177</v>
      </c>
      <c r="T33" s="5">
        <v>0.1343006549945566</v>
      </c>
      <c r="U33" s="5">
        <v>0.12541193386053198</v>
      </c>
      <c r="V33" s="5">
        <f>D84</f>
        <v>0.13908871549702329</v>
      </c>
      <c r="W33" s="21">
        <f>D72</f>
        <v>9.0356765491951027E-2</v>
      </c>
      <c r="X33" s="21">
        <f>D60</f>
        <v>7.1204309604071647E-2</v>
      </c>
      <c r="Y33" s="5">
        <f>D48</f>
        <v>8.6002314517166001E-2</v>
      </c>
      <c r="Z33" s="21">
        <f>D36</f>
        <v>9.2281969688797802E-2</v>
      </c>
      <c r="AA33" s="21">
        <f>D24</f>
        <v>4.3465086877932067E-2</v>
      </c>
    </row>
    <row r="34" spans="1:27" x14ac:dyDescent="0.3">
      <c r="J34" t="s">
        <v>55</v>
      </c>
      <c r="M34" s="5">
        <v>0.31066523027201726</v>
      </c>
      <c r="N34" s="5">
        <v>0.13657389853643739</v>
      </c>
      <c r="O34" s="5">
        <v>0.20493854624325678</v>
      </c>
      <c r="P34" s="5">
        <v>0.24618458294022977</v>
      </c>
      <c r="Q34" s="5">
        <v>0.3488973121984838</v>
      </c>
      <c r="R34" s="5">
        <v>0.24647774146890233</v>
      </c>
      <c r="S34" s="5">
        <v>0.38316857106175378</v>
      </c>
      <c r="T34" s="5">
        <v>0.32201376169496559</v>
      </c>
      <c r="U34" s="5">
        <v>0.26165884194053207</v>
      </c>
      <c r="V34" s="5">
        <f t="shared" ref="V34:V35" si="12">D85</f>
        <v>0.30387886330636799</v>
      </c>
      <c r="W34" s="21">
        <f t="shared" ref="W34:W35" si="13">D73</f>
        <v>9.8165338791024043E-2</v>
      </c>
      <c r="X34" s="21">
        <f t="shared" ref="X34:X35" si="14">D61</f>
        <v>8.973478081627044E-2</v>
      </c>
      <c r="Y34" s="5">
        <f t="shared" ref="Y34:Y35" si="15">D49</f>
        <v>7.5246497145822516E-2</v>
      </c>
      <c r="Z34" s="21">
        <f t="shared" ref="Z34:Z35" si="16">D37</f>
        <v>8.7675185490519378E-2</v>
      </c>
      <c r="AA34" s="21">
        <f t="shared" ref="AA34:AA35" si="17">D25</f>
        <v>0.23314412294060641</v>
      </c>
    </row>
    <row r="35" spans="1:27" x14ac:dyDescent="0.3">
      <c r="A35" t="s">
        <v>57</v>
      </c>
      <c r="D35" t="s">
        <v>59</v>
      </c>
      <c r="E35" t="s">
        <v>60</v>
      </c>
      <c r="F35" t="s">
        <v>63</v>
      </c>
      <c r="J35" t="s">
        <v>56</v>
      </c>
      <c r="M35" s="5">
        <v>0.4951198548371693</v>
      </c>
      <c r="N35" s="5">
        <v>0.41847112308469442</v>
      </c>
      <c r="O35" s="5">
        <v>0.40432129473020928</v>
      </c>
      <c r="P35" s="5">
        <v>0.37588852356348834</v>
      </c>
      <c r="Q35" s="5">
        <v>0.47877342647947874</v>
      </c>
      <c r="R35" s="5">
        <v>0.52020352741054643</v>
      </c>
      <c r="S35" s="5">
        <v>0.52059412198462029</v>
      </c>
      <c r="T35" s="5">
        <v>0.56602552791012295</v>
      </c>
      <c r="U35" s="5">
        <v>0.43289513910119232</v>
      </c>
      <c r="V35" s="5">
        <f t="shared" si="12"/>
        <v>0.5001249297270286</v>
      </c>
      <c r="W35" s="21">
        <f t="shared" si="13"/>
        <v>0.50660490650197287</v>
      </c>
      <c r="X35" s="21">
        <f t="shared" si="14"/>
        <v>0.41475106526126937</v>
      </c>
      <c r="Y35" s="5">
        <f t="shared" si="15"/>
        <v>0.37076455642223843</v>
      </c>
      <c r="Z35" s="21">
        <f t="shared" si="16"/>
        <v>0.39502413136008263</v>
      </c>
      <c r="AA35" s="21">
        <f t="shared" si="17"/>
        <v>0.43923590991617412</v>
      </c>
    </row>
    <row r="36" spans="1:27" x14ac:dyDescent="0.3">
      <c r="A36" t="s">
        <v>54</v>
      </c>
      <c r="D36" s="21">
        <f>O3/D31</f>
        <v>9.2281969688797802E-2</v>
      </c>
      <c r="E36" s="21">
        <v>2.2803025677480451E-2</v>
      </c>
      <c r="F36" s="5">
        <f>(E36/1.645)/D36</f>
        <v>0.15021376044729881</v>
      </c>
    </row>
    <row r="37" spans="1:27" x14ac:dyDescent="0.3">
      <c r="A37" t="s">
        <v>55</v>
      </c>
      <c r="D37" s="21">
        <f t="shared" ref="D37:D38" si="18">O4/D32</f>
        <v>8.7675185490519378E-2</v>
      </c>
      <c r="E37" s="21">
        <v>5.2735452513221377E-2</v>
      </c>
      <c r="F37" s="5">
        <f>(E37/1.645)/D37</f>
        <v>0.3656453723427836</v>
      </c>
      <c r="J37" t="s">
        <v>60</v>
      </c>
      <c r="M37">
        <v>2005</v>
      </c>
      <c r="N37">
        <v>2006</v>
      </c>
      <c r="O37">
        <v>2007</v>
      </c>
      <c r="P37">
        <v>2008</v>
      </c>
      <c r="Q37">
        <v>2009</v>
      </c>
      <c r="R37">
        <v>2010</v>
      </c>
      <c r="S37">
        <v>2011</v>
      </c>
      <c r="T37">
        <v>2012</v>
      </c>
      <c r="U37">
        <v>2013</v>
      </c>
      <c r="V37">
        <v>2014</v>
      </c>
      <c r="W37">
        <v>2015</v>
      </c>
      <c r="X37">
        <v>2016</v>
      </c>
      <c r="Y37">
        <v>2017</v>
      </c>
      <c r="Z37">
        <v>2018</v>
      </c>
      <c r="AA37">
        <v>2019</v>
      </c>
    </row>
    <row r="38" spans="1:27" x14ac:dyDescent="0.3">
      <c r="A38" t="s">
        <v>56</v>
      </c>
      <c r="D38" s="21">
        <f t="shared" si="18"/>
        <v>0.39502413136008263</v>
      </c>
      <c r="E38" s="21">
        <v>0.10220834355016691</v>
      </c>
      <c r="F38" s="5">
        <f>(E38/1.645)/D38</f>
        <v>0.1572884457147303</v>
      </c>
      <c r="J38" t="s">
        <v>54</v>
      </c>
      <c r="M38" s="5">
        <v>2.0607348218655931E-2</v>
      </c>
      <c r="N38" s="5">
        <v>2.6924701405274601E-2</v>
      </c>
      <c r="O38" s="5">
        <v>2.3986983174562417E-2</v>
      </c>
      <c r="P38" s="5">
        <v>2.6338773992451318E-2</v>
      </c>
      <c r="Q38" s="5">
        <v>2.5000839365632944E-2</v>
      </c>
      <c r="R38" s="5">
        <v>2.6013299020478678E-2</v>
      </c>
      <c r="S38" s="5">
        <v>3.1168562134664689E-2</v>
      </c>
      <c r="T38" s="5">
        <v>2.9321603113115834E-2</v>
      </c>
      <c r="U38" s="5">
        <v>2.3523059713467069E-2</v>
      </c>
      <c r="V38" s="5">
        <f>E84</f>
        <v>2.2872316435143425E-2</v>
      </c>
      <c r="W38" s="21">
        <f>E72</f>
        <v>1.9713261648745518E-2</v>
      </c>
      <c r="X38" s="21">
        <f>E60</f>
        <v>2.0253596844911539E-2</v>
      </c>
      <c r="Y38" s="5">
        <f>E48</f>
        <v>3.0204465199068532E-2</v>
      </c>
      <c r="Z38" s="21">
        <f>E36</f>
        <v>2.2803025677480451E-2</v>
      </c>
      <c r="AA38" s="21">
        <f>E24</f>
        <v>1.7970861181087823E-2</v>
      </c>
    </row>
    <row r="39" spans="1:27" x14ac:dyDescent="0.3">
      <c r="G39" s="21"/>
      <c r="H39" s="21"/>
      <c r="J39" t="s">
        <v>55</v>
      </c>
      <c r="M39" s="5">
        <v>0.16137539941964194</v>
      </c>
      <c r="N39" s="5">
        <v>6.7115890443042323E-2</v>
      </c>
      <c r="O39" s="5">
        <v>9.5316379409006197E-2</v>
      </c>
      <c r="P39" s="5">
        <v>9.0284603834592289E-2</v>
      </c>
      <c r="Q39" s="5">
        <v>0.10236522859364972</v>
      </c>
      <c r="R39" s="5">
        <v>0.11898953049116473</v>
      </c>
      <c r="S39" s="5">
        <v>0.16478448356818765</v>
      </c>
      <c r="T39" s="5">
        <v>0.12359224541415978</v>
      </c>
      <c r="U39" s="5">
        <v>0.11824012967883975</v>
      </c>
      <c r="V39" s="5">
        <f t="shared" ref="V39:V40" si="19">E85</f>
        <v>0.13555278987761876</v>
      </c>
      <c r="W39" s="21">
        <f t="shared" ref="W39:W40" si="20">E73</f>
        <v>5.584387106205687E-2</v>
      </c>
      <c r="X39" s="21">
        <f t="shared" ref="X39:X40" si="21">E61</f>
        <v>7.4137694104713478E-2</v>
      </c>
      <c r="Y39" s="5">
        <f t="shared" ref="Y39:Y40" si="22">E49</f>
        <v>7.0840607161537464E-2</v>
      </c>
      <c r="Z39" s="21">
        <f t="shared" ref="Z39:Z40" si="23">E37</f>
        <v>5.2735452513221377E-2</v>
      </c>
      <c r="AA39" s="21">
        <f t="shared" ref="AA39:AA40" si="24">E25</f>
        <v>0.14290862993456224</v>
      </c>
    </row>
    <row r="40" spans="1:27" x14ac:dyDescent="0.3">
      <c r="G40" s="21"/>
      <c r="H40" s="21"/>
      <c r="J40" t="s">
        <v>56</v>
      </c>
      <c r="M40" s="5">
        <v>6.9883861303531136E-2</v>
      </c>
      <c r="N40" s="5">
        <v>6.4691032212997365E-2</v>
      </c>
      <c r="O40" s="5">
        <v>6.0530557298013321E-2</v>
      </c>
      <c r="P40" s="5">
        <v>5.7235504811860849E-2</v>
      </c>
      <c r="Q40" s="5">
        <v>6.1095424044143587E-2</v>
      </c>
      <c r="R40" s="5">
        <v>6.2247763990094199E-2</v>
      </c>
      <c r="S40" s="5">
        <v>6.0369990428489402E-2</v>
      </c>
      <c r="T40" s="5">
        <v>6.3798313540372645E-2</v>
      </c>
      <c r="U40" s="5">
        <v>6.0755636965545749E-2</v>
      </c>
      <c r="V40" s="5">
        <f t="shared" si="19"/>
        <v>6.8336560684614911E-2</v>
      </c>
      <c r="W40" s="21">
        <f t="shared" si="20"/>
        <v>9.286326985760851E-2</v>
      </c>
      <c r="X40" s="21">
        <f t="shared" si="21"/>
        <v>7.8380802870598787E-2</v>
      </c>
      <c r="Y40" s="5">
        <f t="shared" si="22"/>
        <v>8.892294902920167E-2</v>
      </c>
      <c r="Z40" s="21">
        <f t="shared" si="23"/>
        <v>0.10220834355016691</v>
      </c>
      <c r="AA40" s="21">
        <f t="shared" si="24"/>
        <v>0.11388286099186637</v>
      </c>
    </row>
    <row r="41" spans="1:27" x14ac:dyDescent="0.3">
      <c r="A41">
        <v>2017</v>
      </c>
      <c r="G41" s="21"/>
      <c r="H41" s="21"/>
    </row>
    <row r="42" spans="1:27" x14ac:dyDescent="0.3">
      <c r="A42" t="s">
        <v>53</v>
      </c>
      <c r="D42" t="s">
        <v>59</v>
      </c>
      <c r="E42" t="s">
        <v>60</v>
      </c>
      <c r="F42" t="s">
        <v>63</v>
      </c>
    </row>
    <row r="43" spans="1:27" x14ac:dyDescent="0.3">
      <c r="A43" t="s">
        <v>54</v>
      </c>
      <c r="D43" s="22">
        <v>194425</v>
      </c>
      <c r="E43" s="33">
        <v>9023.5838778170619</v>
      </c>
      <c r="F43" s="5">
        <f>(E43/1.645)/D43</f>
        <v>2.8213765328023398E-2</v>
      </c>
      <c r="H43" s="5">
        <f>D43/(SUM(D43:D45))</f>
        <v>0.72533380090953514</v>
      </c>
    </row>
    <row r="44" spans="1:27" x14ac:dyDescent="0.3">
      <c r="A44" t="s">
        <v>55</v>
      </c>
      <c r="D44" s="22">
        <v>17343</v>
      </c>
      <c r="E44" s="33">
        <v>4162.1466817016435</v>
      </c>
      <c r="F44" s="5">
        <f>(E44/1.645)/D44</f>
        <v>0.1458905814229384</v>
      </c>
      <c r="H44" s="5">
        <f>D44/(SUM(D43:D45))</f>
        <v>6.4700856932874209E-2</v>
      </c>
    </row>
    <row r="45" spans="1:27" x14ac:dyDescent="0.3">
      <c r="A45" t="s">
        <v>56</v>
      </c>
      <c r="D45" s="22">
        <v>56281</v>
      </c>
      <c r="E45" s="33">
        <v>6782.5259306544494</v>
      </c>
      <c r="F45" s="5">
        <f>(E45/1.645)/D45</f>
        <v>7.3259467089553179E-2</v>
      </c>
      <c r="H45" s="5">
        <f>D45/(SUM(D43:D45))</f>
        <v>0.20996534215759058</v>
      </c>
    </row>
    <row r="47" spans="1:27" x14ac:dyDescent="0.3">
      <c r="A47" t="s">
        <v>57</v>
      </c>
      <c r="D47" t="s">
        <v>59</v>
      </c>
      <c r="E47" t="s">
        <v>60</v>
      </c>
      <c r="F47" t="s">
        <v>63</v>
      </c>
    </row>
    <row r="48" spans="1:27" x14ac:dyDescent="0.3">
      <c r="A48" t="s">
        <v>54</v>
      </c>
      <c r="D48" s="21">
        <v>8.6002314517166001E-2</v>
      </c>
      <c r="E48" s="21">
        <v>3.0204465199068532E-2</v>
      </c>
      <c r="F48" s="5">
        <f>(E48/1.645)/D48</f>
        <v>0.21349863807497224</v>
      </c>
    </row>
    <row r="49" spans="1:8" x14ac:dyDescent="0.3">
      <c r="A49" t="s">
        <v>55</v>
      </c>
      <c r="D49" s="21">
        <v>7.5246497145822516E-2</v>
      </c>
      <c r="E49" s="21">
        <v>7.0840607161537464E-2</v>
      </c>
      <c r="F49" s="5">
        <f>(E49/1.645)/D49</f>
        <v>0.57230835342325836</v>
      </c>
    </row>
    <row r="50" spans="1:8" x14ac:dyDescent="0.3">
      <c r="A50" t="s">
        <v>56</v>
      </c>
      <c r="D50" s="21">
        <v>0.37076455642223843</v>
      </c>
      <c r="E50" s="21">
        <v>8.892294902920167E-2</v>
      </c>
      <c r="F50" s="5">
        <f>(E50/1.645)/D50</f>
        <v>0.14579738821517313</v>
      </c>
      <c r="G50" s="21"/>
      <c r="H50" s="21"/>
    </row>
    <row r="51" spans="1:8" x14ac:dyDescent="0.3">
      <c r="G51" s="21"/>
      <c r="H51" s="21"/>
    </row>
    <row r="52" spans="1:8" x14ac:dyDescent="0.3">
      <c r="G52" s="21"/>
      <c r="H52" s="21"/>
    </row>
    <row r="53" spans="1:8" x14ac:dyDescent="0.3">
      <c r="A53">
        <v>2016</v>
      </c>
    </row>
    <row r="54" spans="1:8" x14ac:dyDescent="0.3">
      <c r="A54" t="s">
        <v>53</v>
      </c>
      <c r="D54" t="s">
        <v>59</v>
      </c>
      <c r="E54" t="s">
        <v>60</v>
      </c>
      <c r="F54" t="s">
        <v>63</v>
      </c>
    </row>
    <row r="55" spans="1:8" x14ac:dyDescent="0.3">
      <c r="A55" t="s">
        <v>54</v>
      </c>
      <c r="D55" s="22">
        <v>181548</v>
      </c>
      <c r="E55" s="33">
        <v>8633.1946578308998</v>
      </c>
      <c r="F55" s="5">
        <f>(E55/1.645)/D55</f>
        <v>2.8907741474085778E-2</v>
      </c>
      <c r="H55" s="5">
        <f>D55/(SUM(D55:D57))</f>
        <v>0.67882114520314385</v>
      </c>
    </row>
    <row r="56" spans="1:8" x14ac:dyDescent="0.3">
      <c r="A56" t="s">
        <v>55</v>
      </c>
      <c r="D56" s="22">
        <v>14554</v>
      </c>
      <c r="E56" s="33">
        <v>3673.0589431698481</v>
      </c>
      <c r="F56" s="5">
        <f>(E56/1.645)/D56</f>
        <v>0.15341916857458829</v>
      </c>
      <c r="H56" s="5">
        <f>D56/(SUM(D55:D57))</f>
        <v>5.4418462044674439E-2</v>
      </c>
    </row>
    <row r="57" spans="1:8" x14ac:dyDescent="0.3">
      <c r="A57" t="s">
        <v>56</v>
      </c>
      <c r="D57" s="22">
        <v>71344</v>
      </c>
      <c r="E57" s="33">
        <v>8554.7144896834525</v>
      </c>
      <c r="F57" s="5">
        <f>(E57/1.645)/D57</f>
        <v>7.2892385347514882E-2</v>
      </c>
      <c r="H57" s="5">
        <f>D57/(SUM(D55:D57))</f>
        <v>0.26676039275218177</v>
      </c>
    </row>
    <row r="59" spans="1:8" x14ac:dyDescent="0.3">
      <c r="A59" t="s">
        <v>57</v>
      </c>
      <c r="D59" t="s">
        <v>59</v>
      </c>
      <c r="E59" t="s">
        <v>60</v>
      </c>
      <c r="F59" t="s">
        <v>63</v>
      </c>
    </row>
    <row r="60" spans="1:8" x14ac:dyDescent="0.3">
      <c r="A60" t="s">
        <v>54</v>
      </c>
      <c r="D60" s="21">
        <v>7.1204309604071647E-2</v>
      </c>
      <c r="E60" s="21">
        <v>2.0253596844911539E-2</v>
      </c>
      <c r="F60" s="5">
        <f>(E60/1.645)/D60</f>
        <v>0.1729139288823868</v>
      </c>
    </row>
    <row r="61" spans="1:8" x14ac:dyDescent="0.3">
      <c r="A61" t="s">
        <v>55</v>
      </c>
      <c r="D61" s="21">
        <v>8.973478081627044E-2</v>
      </c>
      <c r="E61" s="21">
        <v>7.4137694104713478E-2</v>
      </c>
      <c r="F61" s="5">
        <f>(E61/1.645)/D61</f>
        <v>0.50224123405186261</v>
      </c>
      <c r="G61" s="21"/>
      <c r="H61" s="21"/>
    </row>
    <row r="62" spans="1:8" x14ac:dyDescent="0.3">
      <c r="A62" t="s">
        <v>56</v>
      </c>
      <c r="D62" s="21">
        <v>0.41475106526126937</v>
      </c>
      <c r="E62" s="21">
        <v>7.8380802870598787E-2</v>
      </c>
      <c r="F62" s="5">
        <f>(E62/1.645)/D62</f>
        <v>0.11488313948173157</v>
      </c>
      <c r="G62" s="21"/>
      <c r="H62" s="21"/>
    </row>
    <row r="63" spans="1:8" x14ac:dyDescent="0.3">
      <c r="G63" s="21"/>
      <c r="H63" s="21"/>
    </row>
    <row r="65" spans="1:8" x14ac:dyDescent="0.3">
      <c r="A65">
        <v>2015</v>
      </c>
    </row>
    <row r="66" spans="1:8" x14ac:dyDescent="0.3">
      <c r="A66" t="s">
        <v>53</v>
      </c>
      <c r="D66" t="s">
        <v>59</v>
      </c>
      <c r="E66" t="s">
        <v>60</v>
      </c>
      <c r="F66" t="s">
        <v>63</v>
      </c>
    </row>
    <row r="67" spans="1:8" x14ac:dyDescent="0.3">
      <c r="A67" t="s">
        <v>54</v>
      </c>
      <c r="D67" s="22">
        <v>193068</v>
      </c>
      <c r="E67" s="33">
        <v>7753.4289833595558</v>
      </c>
      <c r="F67" s="5">
        <f>(E67/1.645)/D67</f>
        <v>2.4412801132100474E-2</v>
      </c>
      <c r="H67" s="5">
        <f>D67/(SUM(D67:D69))</f>
        <v>0.72845128452793739</v>
      </c>
    </row>
    <row r="68" spans="1:8" x14ac:dyDescent="0.3">
      <c r="A68" t="s">
        <v>55</v>
      </c>
      <c r="D68" s="22">
        <v>13681</v>
      </c>
      <c r="E68" s="33">
        <v>3003.7844463276656</v>
      </c>
      <c r="F68" s="5">
        <f>(E68/1.645)/D68</f>
        <v>0.1334704175105699</v>
      </c>
      <c r="H68" s="5">
        <f>D68/(SUM(D67:D69))</f>
        <v>5.1618818362580601E-2</v>
      </c>
    </row>
    <row r="69" spans="1:8" x14ac:dyDescent="0.3">
      <c r="A69" t="s">
        <v>56</v>
      </c>
      <c r="D69" s="22">
        <v>58290</v>
      </c>
      <c r="E69" s="33">
        <v>6867.903464668093</v>
      </c>
      <c r="F69" s="5">
        <f>(E69/1.645)/D69</f>
        <v>7.1624932299701502E-2</v>
      </c>
      <c r="H69" s="5">
        <f>D69/(SUM(D67:D69))</f>
        <v>0.21992989710948199</v>
      </c>
    </row>
    <row r="71" spans="1:8" x14ac:dyDescent="0.3">
      <c r="A71" t="s">
        <v>57</v>
      </c>
      <c r="D71" t="s">
        <v>59</v>
      </c>
      <c r="E71" t="s">
        <v>60</v>
      </c>
      <c r="F71" t="s">
        <v>63</v>
      </c>
    </row>
    <row r="72" spans="1:8" x14ac:dyDescent="0.3">
      <c r="A72" t="s">
        <v>54</v>
      </c>
      <c r="D72" s="21">
        <v>9.0356765491951027E-2</v>
      </c>
      <c r="E72" s="21">
        <v>1.9713261648745518E-2</v>
      </c>
      <c r="F72" s="5">
        <f>(E72/1.645)/D72</f>
        <v>0.13262698833764125</v>
      </c>
      <c r="G72" s="21"/>
      <c r="H72" s="21"/>
    </row>
    <row r="73" spans="1:8" x14ac:dyDescent="0.3">
      <c r="A73" t="s">
        <v>55</v>
      </c>
      <c r="D73" s="21">
        <v>9.8165338791024043E-2</v>
      </c>
      <c r="E73" s="21">
        <v>5.584387106205687E-2</v>
      </c>
      <c r="F73" s="5">
        <f>(E73/1.645)/D73</f>
        <v>0.34582106475771029</v>
      </c>
      <c r="G73" s="21"/>
      <c r="H73" s="21"/>
    </row>
    <row r="74" spans="1:8" x14ac:dyDescent="0.3">
      <c r="A74" t="s">
        <v>56</v>
      </c>
      <c r="D74" s="21">
        <v>0.50660490650197287</v>
      </c>
      <c r="E74" s="21">
        <v>9.286326985760851E-2</v>
      </c>
      <c r="F74" s="5">
        <f>(E74/1.645)/D74</f>
        <v>0.11143167990514</v>
      </c>
      <c r="G74" s="21"/>
      <c r="H74" s="21"/>
    </row>
    <row r="77" spans="1:8" x14ac:dyDescent="0.3">
      <c r="A77">
        <v>2014</v>
      </c>
    </row>
    <row r="78" spans="1:8" x14ac:dyDescent="0.3">
      <c r="A78" t="s">
        <v>53</v>
      </c>
      <c r="D78" t="s">
        <v>59</v>
      </c>
      <c r="E78" t="s">
        <v>60</v>
      </c>
      <c r="F78" t="s">
        <v>63</v>
      </c>
    </row>
    <row r="79" spans="1:8" x14ac:dyDescent="0.3">
      <c r="A79" t="s">
        <v>54</v>
      </c>
      <c r="D79" s="22">
        <v>177376</v>
      </c>
      <c r="E79" s="33">
        <v>7189.9474963312496</v>
      </c>
      <c r="F79" s="5">
        <f>(E79/1.645)/D79</f>
        <v>2.4641376237874053E-2</v>
      </c>
      <c r="H79" s="5">
        <f>D79/(SUM(D79:D81))</f>
        <v>0.68039402215607447</v>
      </c>
    </row>
    <row r="80" spans="1:8" x14ac:dyDescent="0.3">
      <c r="A80" t="s">
        <v>55</v>
      </c>
      <c r="D80" s="22">
        <v>19284</v>
      </c>
      <c r="E80" s="33">
        <v>4170.7908123040643</v>
      </c>
      <c r="F80" s="5">
        <f>(E80/1.645)/D80</f>
        <v>0.131478694475098</v>
      </c>
      <c r="H80" s="5">
        <f>D80/(SUM(D79:D81))</f>
        <v>7.3971215515389571E-2</v>
      </c>
    </row>
    <row r="81" spans="1:8" x14ac:dyDescent="0.3">
      <c r="A81" t="s">
        <v>56</v>
      </c>
      <c r="D81" s="22">
        <v>64036</v>
      </c>
      <c r="E81" s="33">
        <v>5768.1834228810721</v>
      </c>
      <c r="F81" s="5">
        <f>(E81/1.645)/D81</f>
        <v>5.4758174807835791E-2</v>
      </c>
      <c r="H81" s="5">
        <f>D81/(SUM(D79:D81))</f>
        <v>0.24563476232853593</v>
      </c>
    </row>
    <row r="83" spans="1:8" x14ac:dyDescent="0.3">
      <c r="A83" t="s">
        <v>57</v>
      </c>
      <c r="D83" t="s">
        <v>59</v>
      </c>
      <c r="E83" t="s">
        <v>60</v>
      </c>
      <c r="F83" t="s">
        <v>63</v>
      </c>
      <c r="G83" s="21"/>
      <c r="H83" s="21"/>
    </row>
    <row r="84" spans="1:8" x14ac:dyDescent="0.3">
      <c r="A84" t="s">
        <v>54</v>
      </c>
      <c r="D84" s="21">
        <v>0.13908871549702329</v>
      </c>
      <c r="E84" s="21">
        <v>2.2872316435143425E-2</v>
      </c>
      <c r="F84" s="5">
        <f>(E84/1.645)/D84</f>
        <v>9.9966008600230694E-2</v>
      </c>
      <c r="G84" s="21"/>
      <c r="H84" s="21"/>
    </row>
    <row r="85" spans="1:8" x14ac:dyDescent="0.3">
      <c r="A85" t="s">
        <v>55</v>
      </c>
      <c r="D85" s="21">
        <v>0.30387886330636799</v>
      </c>
      <c r="E85" s="21">
        <v>0.13555278987761876</v>
      </c>
      <c r="F85" s="5">
        <f>(E85/1.645)/D85</f>
        <v>0.27117026463479155</v>
      </c>
      <c r="G85" s="21"/>
      <c r="H85" s="21"/>
    </row>
    <row r="86" spans="1:8" x14ac:dyDescent="0.3">
      <c r="A86" t="s">
        <v>56</v>
      </c>
      <c r="D86" s="21">
        <v>0.5001249297270286</v>
      </c>
      <c r="E86" s="21">
        <v>6.8336560684614911E-2</v>
      </c>
      <c r="F86" s="5">
        <f>(E86/1.645)/D86</f>
        <v>8.306321022983415E-2</v>
      </c>
    </row>
    <row r="89" spans="1:8" x14ac:dyDescent="0.3">
      <c r="A89">
        <v>2013</v>
      </c>
    </row>
    <row r="90" spans="1:8" x14ac:dyDescent="0.3">
      <c r="A90" t="s">
        <v>53</v>
      </c>
      <c r="D90" t="s">
        <v>59</v>
      </c>
      <c r="E90" t="s">
        <v>60</v>
      </c>
      <c r="F90" t="s">
        <v>63</v>
      </c>
    </row>
    <row r="91" spans="1:8" x14ac:dyDescent="0.3">
      <c r="A91" t="s">
        <v>54</v>
      </c>
      <c r="D91" s="22">
        <v>173875</v>
      </c>
      <c r="E91" s="33">
        <v>7921.6918647470757</v>
      </c>
      <c r="F91" s="5">
        <f>(E91/1.645)/D91</f>
        <v>2.7695862860454029E-2</v>
      </c>
      <c r="H91" s="5">
        <f>D91/(SUM(D91:D93))</f>
        <v>0.68114153641242603</v>
      </c>
    </row>
    <row r="92" spans="1:8" x14ac:dyDescent="0.3">
      <c r="A92" t="s">
        <v>55</v>
      </c>
      <c r="D92" s="22">
        <v>15975</v>
      </c>
      <c r="E92" s="33">
        <v>3720.5565443895621</v>
      </c>
      <c r="F92" s="5">
        <f>(E92/1.645)/D92</f>
        <v>0.14157974968066792</v>
      </c>
      <c r="H92" s="5">
        <f>D92/(SUM(D91:D93))</f>
        <v>6.2580796803384658E-2</v>
      </c>
    </row>
    <row r="93" spans="1:8" x14ac:dyDescent="0.3">
      <c r="A93" t="s">
        <v>56</v>
      </c>
      <c r="D93" s="22">
        <v>65420</v>
      </c>
      <c r="E93" s="33">
        <v>7378.3934565730497</v>
      </c>
      <c r="F93" s="5">
        <f>(E93/1.645)/D93</f>
        <v>6.8562298476089953E-2</v>
      </c>
      <c r="H93" s="5">
        <f>D93/(SUM(D91:D93))</f>
        <v>0.25627766678418928</v>
      </c>
    </row>
    <row r="94" spans="1:8" x14ac:dyDescent="0.3">
      <c r="G94" s="21"/>
      <c r="H94" s="21"/>
    </row>
    <row r="95" spans="1:8" x14ac:dyDescent="0.3">
      <c r="A95" t="s">
        <v>57</v>
      </c>
      <c r="D95" t="s">
        <v>59</v>
      </c>
      <c r="E95" t="s">
        <v>60</v>
      </c>
      <c r="F95" t="s">
        <v>63</v>
      </c>
      <c r="G95" s="21"/>
      <c r="H95" s="21"/>
    </row>
    <row r="96" spans="1:8" x14ac:dyDescent="0.3">
      <c r="A96" t="s">
        <v>54</v>
      </c>
      <c r="D96" s="21">
        <v>0.12541193386053198</v>
      </c>
      <c r="E96" s="21">
        <v>2.3523059713467069E-2</v>
      </c>
      <c r="F96" s="5">
        <f>(E96/1.645)/D96</f>
        <v>0.11402210227070286</v>
      </c>
      <c r="G96" s="21"/>
      <c r="H96" s="21"/>
    </row>
    <row r="97" spans="1:8" x14ac:dyDescent="0.3">
      <c r="A97" t="s">
        <v>55</v>
      </c>
      <c r="D97" s="21">
        <v>0.26165884194053207</v>
      </c>
      <c r="E97" s="21">
        <v>0.11824012967883975</v>
      </c>
      <c r="F97" s="5">
        <f>(E97/1.645)/D97</f>
        <v>0.27470311246483686</v>
      </c>
    </row>
    <row r="98" spans="1:8" x14ac:dyDescent="0.3">
      <c r="A98" t="s">
        <v>56</v>
      </c>
      <c r="D98" s="21">
        <v>0.43289513910119232</v>
      </c>
      <c r="E98" s="21">
        <v>6.0755636965545749E-2</v>
      </c>
      <c r="F98" s="5">
        <f>(E98/1.645)/D98</f>
        <v>8.5317469696864379E-2</v>
      </c>
    </row>
    <row r="100" spans="1:8" x14ac:dyDescent="0.3">
      <c r="A100">
        <v>2012</v>
      </c>
    </row>
    <row r="101" spans="1:8" x14ac:dyDescent="0.3">
      <c r="A101" t="s">
        <v>53</v>
      </c>
      <c r="D101" t="s">
        <v>59</v>
      </c>
      <c r="E101" t="s">
        <v>60</v>
      </c>
      <c r="F101" t="s">
        <v>63</v>
      </c>
    </row>
    <row r="102" spans="1:8" x14ac:dyDescent="0.3">
      <c r="A102" t="s">
        <v>54</v>
      </c>
      <c r="D102" s="22">
        <v>168093</v>
      </c>
      <c r="E102" s="33">
        <v>8392.8384352375087</v>
      </c>
      <c r="F102" s="5">
        <f>(E102/1.645)/D102</f>
        <v>3.0352420647578301E-2</v>
      </c>
      <c r="H102" s="5">
        <f>D102/(SUM(D102:D104))</f>
        <v>0.65584983105603634</v>
      </c>
    </row>
    <row r="103" spans="1:8" x14ac:dyDescent="0.3">
      <c r="A103" t="s">
        <v>55</v>
      </c>
      <c r="D103" s="22">
        <v>20201</v>
      </c>
      <c r="E103" s="33">
        <v>4151.0780527472616</v>
      </c>
      <c r="F103" s="5">
        <f>(E103/1.645)/D103</f>
        <v>0.12491716765495409</v>
      </c>
      <c r="H103" s="5">
        <f>D103/(SUM(D102:D104))</f>
        <v>7.8818406698452581E-2</v>
      </c>
    </row>
    <row r="104" spans="1:8" x14ac:dyDescent="0.3">
      <c r="A104" t="s">
        <v>56</v>
      </c>
      <c r="D104" s="22">
        <v>68004</v>
      </c>
      <c r="E104" s="33">
        <v>7695.8134722717914</v>
      </c>
      <c r="F104" s="5">
        <f>(E104/1.645)/D104</f>
        <v>6.8794571821823747E-2</v>
      </c>
      <c r="H104" s="5">
        <f>D104/(SUM(D102:D104))</f>
        <v>0.26533176224551108</v>
      </c>
    </row>
    <row r="105" spans="1:8" x14ac:dyDescent="0.3">
      <c r="G105" s="21"/>
      <c r="H105" s="21"/>
    </row>
    <row r="106" spans="1:8" x14ac:dyDescent="0.3">
      <c r="A106" t="s">
        <v>57</v>
      </c>
      <c r="D106" t="s">
        <v>59</v>
      </c>
      <c r="E106" t="s">
        <v>60</v>
      </c>
      <c r="F106" t="s">
        <v>63</v>
      </c>
      <c r="G106" s="21"/>
      <c r="H106" s="21"/>
    </row>
    <row r="107" spans="1:8" x14ac:dyDescent="0.3">
      <c r="A107" t="s">
        <v>54</v>
      </c>
      <c r="D107" s="21">
        <v>0.1343006549945566</v>
      </c>
      <c r="E107" s="21">
        <v>2.9321603113115834E-2</v>
      </c>
      <c r="F107" s="5">
        <f>(E107/1.645)/D107</f>
        <v>0.13272223239907446</v>
      </c>
      <c r="G107" s="21"/>
      <c r="H107" s="21"/>
    </row>
    <row r="108" spans="1:8" x14ac:dyDescent="0.3">
      <c r="A108" t="s">
        <v>55</v>
      </c>
      <c r="D108" s="21">
        <v>0.32201376169496559</v>
      </c>
      <c r="E108" s="21">
        <v>0.12359224541415978</v>
      </c>
      <c r="F108" s="5">
        <f>(E108/1.645)/D108</f>
        <v>0.23331941990953339</v>
      </c>
    </row>
    <row r="109" spans="1:8" x14ac:dyDescent="0.3">
      <c r="A109" t="s">
        <v>56</v>
      </c>
      <c r="D109" s="21">
        <v>0.56602552791012295</v>
      </c>
      <c r="E109" s="21">
        <v>6.3798313540372645E-2</v>
      </c>
      <c r="F109" s="5">
        <f>(E109/1.645)/D109</f>
        <v>6.85184102361064E-2</v>
      </c>
    </row>
    <row r="111" spans="1:8" x14ac:dyDescent="0.3">
      <c r="A111">
        <v>2011</v>
      </c>
    </row>
    <row r="112" spans="1:8" x14ac:dyDescent="0.3">
      <c r="A112" t="s">
        <v>53</v>
      </c>
      <c r="D112" t="s">
        <v>59</v>
      </c>
      <c r="E112" t="s">
        <v>60</v>
      </c>
      <c r="F112" t="s">
        <v>63</v>
      </c>
    </row>
    <row r="113" spans="1:8" x14ac:dyDescent="0.3">
      <c r="A113" t="s">
        <v>54</v>
      </c>
      <c r="D113" s="22">
        <v>169522</v>
      </c>
      <c r="E113" s="33">
        <v>9447.9691997804475</v>
      </c>
      <c r="F113" s="5">
        <f>(E113/1.645)/D113</f>
        <v>3.3880241632678845E-2</v>
      </c>
    </row>
    <row r="114" spans="1:8" x14ac:dyDescent="0.3">
      <c r="A114" t="s">
        <v>55</v>
      </c>
      <c r="D114" s="22">
        <v>15578</v>
      </c>
      <c r="E114" s="33">
        <v>3767.0712762038365</v>
      </c>
      <c r="F114" s="5">
        <f>(E114/1.645)/D114</f>
        <v>0.14700301282979297</v>
      </c>
    </row>
    <row r="115" spans="1:8" x14ac:dyDescent="0.3">
      <c r="A115" t="s">
        <v>56</v>
      </c>
      <c r="D115" s="22">
        <v>66451</v>
      </c>
      <c r="E115" s="33">
        <v>7656.0398379318794</v>
      </c>
      <c r="F115" s="5">
        <f>(E115/1.645)/D115</f>
        <v>7.0038487924227094E-2</v>
      </c>
    </row>
    <row r="116" spans="1:8" x14ac:dyDescent="0.3">
      <c r="G116" s="21"/>
      <c r="H116" s="21"/>
    </row>
    <row r="117" spans="1:8" x14ac:dyDescent="0.3">
      <c r="A117" t="s">
        <v>57</v>
      </c>
      <c r="D117" t="s">
        <v>59</v>
      </c>
      <c r="E117" t="s">
        <v>60</v>
      </c>
      <c r="F117" t="s">
        <v>63</v>
      </c>
      <c r="G117" s="21"/>
      <c r="H117" s="21"/>
    </row>
    <row r="118" spans="1:8" x14ac:dyDescent="0.3">
      <c r="A118" t="s">
        <v>54</v>
      </c>
      <c r="D118" s="21">
        <v>0.13294439659749177</v>
      </c>
      <c r="E118" s="21">
        <v>3.1168562134664689E-2</v>
      </c>
      <c r="F118" s="5">
        <f>(E118/1.645)/D118</f>
        <v>0.14252164566644079</v>
      </c>
      <c r="G118" s="21"/>
      <c r="H118" s="21"/>
    </row>
    <row r="119" spans="1:8" x14ac:dyDescent="0.3">
      <c r="A119" t="s">
        <v>55</v>
      </c>
      <c r="D119" s="21">
        <v>0.38316857106175378</v>
      </c>
      <c r="E119" s="21">
        <v>0.16478448356818765</v>
      </c>
      <c r="F119" s="5">
        <f>(E119/1.645)/D119</f>
        <v>0.26143307647009312</v>
      </c>
    </row>
    <row r="120" spans="1:8" x14ac:dyDescent="0.3">
      <c r="A120" t="s">
        <v>56</v>
      </c>
      <c r="D120" s="21">
        <v>0.52059412198462029</v>
      </c>
      <c r="E120" s="21">
        <v>6.0369990428489402E-2</v>
      </c>
      <c r="F120" s="5">
        <f>(E120/1.645)/D120</f>
        <v>7.0494615243530095E-2</v>
      </c>
    </row>
    <row r="122" spans="1:8" x14ac:dyDescent="0.3">
      <c r="A122">
        <v>2010</v>
      </c>
    </row>
    <row r="123" spans="1:8" x14ac:dyDescent="0.3">
      <c r="A123" t="s">
        <v>53</v>
      </c>
      <c r="D123" t="s">
        <v>59</v>
      </c>
      <c r="E123" t="s">
        <v>60</v>
      </c>
      <c r="F123" t="s">
        <v>63</v>
      </c>
    </row>
    <row r="124" spans="1:8" x14ac:dyDescent="0.3">
      <c r="A124" t="s">
        <v>54</v>
      </c>
      <c r="D124" s="22">
        <v>157314</v>
      </c>
      <c r="E124" s="33">
        <v>7382.3658132064957</v>
      </c>
      <c r="F124" s="5">
        <f>(E124/1.645)/D124</f>
        <v>2.8527406160735257E-2</v>
      </c>
    </row>
    <row r="125" spans="1:8" x14ac:dyDescent="0.3">
      <c r="A125" t="s">
        <v>55</v>
      </c>
      <c r="D125" s="22">
        <v>18667</v>
      </c>
      <c r="E125" s="33">
        <v>3741.3875768222679</v>
      </c>
      <c r="F125" s="5">
        <f>(E125/1.645)/D125</f>
        <v>0.1218406676353511</v>
      </c>
    </row>
    <row r="126" spans="1:8" x14ac:dyDescent="0.3">
      <c r="A126" t="s">
        <v>56</v>
      </c>
      <c r="D126" s="22">
        <v>67018</v>
      </c>
      <c r="E126" s="33">
        <v>6290.4235946397121</v>
      </c>
      <c r="F126" s="5">
        <f>(E126/1.645)/D126</f>
        <v>5.7058785863904928E-2</v>
      </c>
    </row>
    <row r="128" spans="1:8" x14ac:dyDescent="0.3">
      <c r="A128" t="s">
        <v>57</v>
      </c>
      <c r="D128" t="s">
        <v>59</v>
      </c>
      <c r="E128" t="s">
        <v>60</v>
      </c>
      <c r="F128" t="s">
        <v>63</v>
      </c>
    </row>
    <row r="129" spans="1:6" x14ac:dyDescent="0.3">
      <c r="A129" t="s">
        <v>54</v>
      </c>
      <c r="D129" s="21">
        <v>0.13902767712981681</v>
      </c>
      <c r="E129" s="21">
        <v>2.6013299020478678E-2</v>
      </c>
      <c r="F129" s="5">
        <f>(E129/1.645)/D129</f>
        <v>0.11374393906318002</v>
      </c>
    </row>
    <row r="130" spans="1:6" x14ac:dyDescent="0.3">
      <c r="A130" t="s">
        <v>55</v>
      </c>
      <c r="D130" s="21">
        <v>0.24647774146890233</v>
      </c>
      <c r="E130" s="21">
        <v>0.11898953049116473</v>
      </c>
      <c r="F130" s="5">
        <f>(E130/1.645)/D130</f>
        <v>0.29347096682148155</v>
      </c>
    </row>
    <row r="131" spans="1:6" x14ac:dyDescent="0.3">
      <c r="A131" t="s">
        <v>56</v>
      </c>
      <c r="D131" s="21">
        <v>0.52020352741054643</v>
      </c>
      <c r="E131" s="21">
        <v>6.2247763990094199E-2</v>
      </c>
      <c r="F131" s="5">
        <f>(E131/1.645)/D131</f>
        <v>7.2741886623831742E-2</v>
      </c>
    </row>
    <row r="133" spans="1:6" x14ac:dyDescent="0.3">
      <c r="A133">
        <v>2009</v>
      </c>
    </row>
    <row r="134" spans="1:6" x14ac:dyDescent="0.3">
      <c r="A134" t="s">
        <v>53</v>
      </c>
      <c r="D134" t="s">
        <v>59</v>
      </c>
      <c r="E134" t="s">
        <v>60</v>
      </c>
      <c r="F134" t="s">
        <v>63</v>
      </c>
    </row>
    <row r="135" spans="1:6" x14ac:dyDescent="0.3">
      <c r="A135" t="s">
        <v>54</v>
      </c>
      <c r="D135" s="22">
        <v>167169</v>
      </c>
      <c r="E135" s="33">
        <v>7531.0292789232999</v>
      </c>
      <c r="F135" s="5">
        <f>(E135/1.645)/D135</f>
        <v>2.738625762107403E-2</v>
      </c>
    </row>
    <row r="136" spans="1:6" x14ac:dyDescent="0.3">
      <c r="A136" t="s">
        <v>55</v>
      </c>
      <c r="D136" s="22">
        <v>17412</v>
      </c>
      <c r="E136" s="33">
        <v>3326.784182961077</v>
      </c>
      <c r="F136" s="5">
        <f>(E136/1.645)/D136</f>
        <v>0.11614755372429722</v>
      </c>
    </row>
    <row r="137" spans="1:6" x14ac:dyDescent="0.3">
      <c r="A137" t="s">
        <v>56</v>
      </c>
      <c r="D137" s="22">
        <v>59548</v>
      </c>
      <c r="E137" s="33">
        <v>6635.6160226462771</v>
      </c>
      <c r="F137" s="5">
        <f>(E137/1.645)/D137</f>
        <v>6.7740463698323483E-2</v>
      </c>
    </row>
    <row r="139" spans="1:6" x14ac:dyDescent="0.3">
      <c r="A139" t="s">
        <v>57</v>
      </c>
      <c r="D139" t="s">
        <v>59</v>
      </c>
      <c r="E139" t="s">
        <v>60</v>
      </c>
      <c r="F139" t="s">
        <v>63</v>
      </c>
    </row>
    <row r="140" spans="1:6" x14ac:dyDescent="0.3">
      <c r="A140" t="s">
        <v>54</v>
      </c>
      <c r="D140" s="21">
        <v>0.12912082981892575</v>
      </c>
      <c r="E140" s="21">
        <v>2.5000839365632944E-2</v>
      </c>
      <c r="F140" s="5">
        <f>(E140/1.645)/D140</f>
        <v>0.11770431357229794</v>
      </c>
    </row>
    <row r="141" spans="1:6" x14ac:dyDescent="0.3">
      <c r="A141" t="s">
        <v>55</v>
      </c>
      <c r="D141" s="21">
        <v>0.3488973121984838</v>
      </c>
      <c r="E141" s="21">
        <v>0.10236522859364972</v>
      </c>
      <c r="F141" s="5">
        <f>(E141/1.645)/D141</f>
        <v>0.1783564972066623</v>
      </c>
    </row>
    <row r="142" spans="1:6" x14ac:dyDescent="0.3">
      <c r="A142" t="s">
        <v>56</v>
      </c>
      <c r="D142" s="21">
        <v>0.47877342647947874</v>
      </c>
      <c r="E142" s="21">
        <v>6.1095424044143587E-2</v>
      </c>
      <c r="F142" s="5">
        <f>(E142/1.645)/D142</f>
        <v>7.757338513934027E-2</v>
      </c>
    </row>
    <row r="144" spans="1:6" x14ac:dyDescent="0.3">
      <c r="A144">
        <v>2008</v>
      </c>
    </row>
    <row r="145" spans="1:6" x14ac:dyDescent="0.3">
      <c r="A145" t="s">
        <v>53</v>
      </c>
      <c r="D145" t="s">
        <v>59</v>
      </c>
      <c r="E145" t="s">
        <v>60</v>
      </c>
      <c r="F145" t="s">
        <v>63</v>
      </c>
    </row>
    <row r="146" spans="1:6" x14ac:dyDescent="0.3">
      <c r="A146" t="s">
        <v>54</v>
      </c>
      <c r="D146" s="22">
        <v>166273</v>
      </c>
      <c r="E146" s="33">
        <v>7639.9482328089107</v>
      </c>
      <c r="F146" s="5">
        <f>(E146/1.645)/D146</f>
        <v>2.7932048079236996E-2</v>
      </c>
    </row>
    <row r="147" spans="1:6" x14ac:dyDescent="0.3">
      <c r="A147" t="s">
        <v>55</v>
      </c>
      <c r="D147" s="22">
        <v>18019</v>
      </c>
      <c r="E147" s="33">
        <v>3157.4155570656203</v>
      </c>
      <c r="F147" s="5">
        <f>(E147/1.645)/D147</f>
        <v>0.10652098087836093</v>
      </c>
    </row>
    <row r="148" spans="1:6" x14ac:dyDescent="0.3">
      <c r="A148" t="s">
        <v>56</v>
      </c>
      <c r="D148" s="22">
        <v>63870</v>
      </c>
      <c r="E148" s="33">
        <v>6885.0477122529801</v>
      </c>
      <c r="F148" s="5">
        <f>(E148/1.645)/D148</f>
        <v>6.5530598696659018E-2</v>
      </c>
    </row>
    <row r="150" spans="1:6" x14ac:dyDescent="0.3">
      <c r="A150" t="s">
        <v>57</v>
      </c>
      <c r="D150" t="s">
        <v>59</v>
      </c>
      <c r="E150" t="s">
        <v>60</v>
      </c>
      <c r="F150" t="s">
        <v>63</v>
      </c>
    </row>
    <row r="151" spans="1:6" x14ac:dyDescent="0.3">
      <c r="A151" t="s">
        <v>54</v>
      </c>
      <c r="D151" s="21">
        <v>0.11046291340145424</v>
      </c>
      <c r="E151" s="21">
        <v>2.6338773992451318E-2</v>
      </c>
      <c r="F151" s="5">
        <f>(E151/1.645)/D151</f>
        <v>0.1449483113230815</v>
      </c>
    </row>
    <row r="152" spans="1:6" x14ac:dyDescent="0.3">
      <c r="A152" t="s">
        <v>55</v>
      </c>
      <c r="D152" s="21">
        <v>0.24618458294022977</v>
      </c>
      <c r="E152" s="21">
        <v>9.0284603834592289E-2</v>
      </c>
      <c r="F152" s="5">
        <f>(E152/1.645)/D152</f>
        <v>0.22293945865624423</v>
      </c>
    </row>
    <row r="153" spans="1:6" x14ac:dyDescent="0.3">
      <c r="A153" t="s">
        <v>56</v>
      </c>
      <c r="D153" s="21">
        <v>0.37588852356348834</v>
      </c>
      <c r="E153" s="21">
        <v>5.7235504811860849E-2</v>
      </c>
      <c r="F153" s="5">
        <f>(E153/1.645)/D153</f>
        <v>9.2563666526901178E-2</v>
      </c>
    </row>
    <row r="155" spans="1:6" x14ac:dyDescent="0.3">
      <c r="A155">
        <v>2007</v>
      </c>
    </row>
    <row r="156" spans="1:6" x14ac:dyDescent="0.3">
      <c r="A156" t="s">
        <v>53</v>
      </c>
      <c r="D156" t="s">
        <v>59</v>
      </c>
      <c r="E156" t="s">
        <v>60</v>
      </c>
      <c r="F156" t="s">
        <v>63</v>
      </c>
    </row>
    <row r="157" spans="1:6" x14ac:dyDescent="0.3">
      <c r="A157" t="s">
        <v>54</v>
      </c>
      <c r="D157" s="22">
        <v>163235</v>
      </c>
      <c r="E157" s="33">
        <v>7699.5291414475469</v>
      </c>
      <c r="F157" s="5">
        <f>(E157/1.645)/D157</f>
        <v>2.867378214002933E-2</v>
      </c>
    </row>
    <row r="158" spans="1:6" x14ac:dyDescent="0.3">
      <c r="A158" t="s">
        <v>55</v>
      </c>
      <c r="D158" s="22">
        <v>17981</v>
      </c>
      <c r="E158" s="33">
        <v>3944.9493025893248</v>
      </c>
      <c r="F158" s="5">
        <f>(E158/1.645)/D158</f>
        <v>0.13337108462814512</v>
      </c>
    </row>
    <row r="159" spans="1:6" x14ac:dyDescent="0.3">
      <c r="A159" t="s">
        <v>56</v>
      </c>
      <c r="D159" s="22">
        <v>60306</v>
      </c>
      <c r="E159" s="33">
        <v>6466.10462334163</v>
      </c>
      <c r="F159" s="5">
        <f>(E159/1.645)/D159</f>
        <v>6.5180291993524306E-2</v>
      </c>
    </row>
    <row r="161" spans="1:6" x14ac:dyDescent="0.3">
      <c r="A161" t="s">
        <v>57</v>
      </c>
      <c r="D161" t="s">
        <v>59</v>
      </c>
      <c r="E161" t="s">
        <v>60</v>
      </c>
      <c r="F161" t="s">
        <v>63</v>
      </c>
    </row>
    <row r="162" spans="1:6" x14ac:dyDescent="0.3">
      <c r="A162" t="s">
        <v>54</v>
      </c>
      <c r="D162" s="21">
        <v>0.10298649186755292</v>
      </c>
      <c r="E162" s="21">
        <v>2.3986983174562417E-2</v>
      </c>
      <c r="F162" s="5">
        <f>(E162/1.645)/D162</f>
        <v>0.14158898342179327</v>
      </c>
    </row>
    <row r="163" spans="1:6" x14ac:dyDescent="0.3">
      <c r="A163" t="s">
        <v>55</v>
      </c>
      <c r="D163" s="21">
        <v>0.20493854624325678</v>
      </c>
      <c r="E163" s="21">
        <v>9.5316379409006197E-2</v>
      </c>
      <c r="F163" s="5">
        <f>(E163/1.645)/D163</f>
        <v>0.28273396512656507</v>
      </c>
    </row>
    <row r="164" spans="1:6" x14ac:dyDescent="0.3">
      <c r="A164" t="s">
        <v>56</v>
      </c>
      <c r="D164" s="21">
        <v>0.40432129473020928</v>
      </c>
      <c r="E164" s="21">
        <v>6.0530557298013321E-2</v>
      </c>
      <c r="F164" s="5">
        <f>(E164/1.645)/D164</f>
        <v>9.1008541588507491E-2</v>
      </c>
    </row>
    <row r="166" spans="1:6" x14ac:dyDescent="0.3">
      <c r="A166">
        <v>2006</v>
      </c>
    </row>
    <row r="167" spans="1:6" x14ac:dyDescent="0.3">
      <c r="A167" t="s">
        <v>53</v>
      </c>
      <c r="D167" t="s">
        <v>59</v>
      </c>
      <c r="E167" t="s">
        <v>60</v>
      </c>
      <c r="F167" t="s">
        <v>63</v>
      </c>
    </row>
    <row r="168" spans="1:6" x14ac:dyDescent="0.3">
      <c r="A168" t="s">
        <v>54</v>
      </c>
      <c r="D168" s="22">
        <v>151820</v>
      </c>
      <c r="E168" s="33">
        <v>6823.8980062717819</v>
      </c>
      <c r="F168" s="5">
        <f>(E168/1.645)/D168</f>
        <v>2.7323582302798112E-2</v>
      </c>
    </row>
    <row r="169" spans="1:6" x14ac:dyDescent="0.3">
      <c r="A169" t="s">
        <v>55</v>
      </c>
      <c r="D169" s="22">
        <v>13187</v>
      </c>
      <c r="E169" s="33">
        <v>2626.7535095627072</v>
      </c>
      <c r="F169" s="5">
        <f>(E169/1.645)/D169</f>
        <v>0.12108975840684524</v>
      </c>
    </row>
    <row r="170" spans="1:6" x14ac:dyDescent="0.3">
      <c r="A170" t="s">
        <v>56</v>
      </c>
      <c r="D170" s="22">
        <v>59390</v>
      </c>
      <c r="E170" s="33">
        <v>6835.8780708845297</v>
      </c>
      <c r="F170" s="5">
        <f>(E170/1.645)/D170</f>
        <v>6.9970516572842437E-2</v>
      </c>
    </row>
    <row r="172" spans="1:6" x14ac:dyDescent="0.3">
      <c r="A172" t="s">
        <v>57</v>
      </c>
      <c r="D172" t="s">
        <v>59</v>
      </c>
      <c r="E172" t="s">
        <v>60</v>
      </c>
      <c r="F172" t="s">
        <v>63</v>
      </c>
    </row>
    <row r="173" spans="1:6" x14ac:dyDescent="0.3">
      <c r="A173" t="s">
        <v>54</v>
      </c>
      <c r="D173" s="21">
        <v>0.12227637992359373</v>
      </c>
      <c r="E173" s="21">
        <v>2.6924701405274601E-2</v>
      </c>
      <c r="F173" s="5">
        <f>(E173/1.645)/D173</f>
        <v>0.13385741096270881</v>
      </c>
    </row>
    <row r="174" spans="1:6" x14ac:dyDescent="0.3">
      <c r="A174" t="s">
        <v>55</v>
      </c>
      <c r="D174" s="21">
        <v>0.13657389853643739</v>
      </c>
      <c r="E174" s="21">
        <v>6.7115890443042323E-2</v>
      </c>
      <c r="F174" s="5">
        <f>(E174/1.645)/D174</f>
        <v>0.29873887937042715</v>
      </c>
    </row>
    <row r="175" spans="1:6" x14ac:dyDescent="0.3">
      <c r="A175" t="s">
        <v>56</v>
      </c>
      <c r="D175" s="21">
        <v>0.41847112308469442</v>
      </c>
      <c r="E175" s="21">
        <v>6.4691032212997365E-2</v>
      </c>
      <c r="F175" s="5">
        <f>(E175/1.645)/D175</f>
        <v>9.3975075648580542E-2</v>
      </c>
    </row>
    <row r="177" spans="1:6" x14ac:dyDescent="0.3">
      <c r="A177">
        <v>2005</v>
      </c>
    </row>
    <row r="178" spans="1:6" x14ac:dyDescent="0.3">
      <c r="A178" t="s">
        <v>53</v>
      </c>
      <c r="D178" t="s">
        <v>59</v>
      </c>
      <c r="E178" t="s">
        <v>60</v>
      </c>
      <c r="F178" t="s">
        <v>63</v>
      </c>
    </row>
    <row r="179" spans="1:6" x14ac:dyDescent="0.3">
      <c r="A179" t="s">
        <v>54</v>
      </c>
      <c r="D179" s="22">
        <v>144561</v>
      </c>
      <c r="E179" s="33">
        <v>8160.0059436252859</v>
      </c>
      <c r="F179" s="5">
        <f>(E179/1.645)/D179</f>
        <v>3.431416450726351E-2</v>
      </c>
    </row>
    <row r="180" spans="1:6" x14ac:dyDescent="0.3">
      <c r="A180" t="s">
        <v>55</v>
      </c>
      <c r="D180" s="22">
        <v>14852</v>
      </c>
      <c r="E180" s="33">
        <v>3867.1863156563845</v>
      </c>
      <c r="F180" s="5">
        <f>(E180/1.645)/D180</f>
        <v>0.15828663750448743</v>
      </c>
    </row>
    <row r="181" spans="1:6" x14ac:dyDescent="0.3">
      <c r="A181" t="s">
        <v>56</v>
      </c>
      <c r="D181" s="22">
        <v>52355</v>
      </c>
      <c r="E181" s="33">
        <v>6016.2125128688731</v>
      </c>
      <c r="F181" s="5">
        <f>(E181/1.645)/D181</f>
        <v>6.9855258223611633E-2</v>
      </c>
    </row>
    <row r="183" spans="1:6" x14ac:dyDescent="0.3">
      <c r="A183" t="s">
        <v>57</v>
      </c>
      <c r="D183" t="s">
        <v>59</v>
      </c>
      <c r="E183" t="s">
        <v>60</v>
      </c>
      <c r="F183" t="s">
        <v>63</v>
      </c>
    </row>
    <row r="184" spans="1:6" x14ac:dyDescent="0.3">
      <c r="A184" t="s">
        <v>54</v>
      </c>
      <c r="D184" s="21">
        <v>9.6339953376083448E-2</v>
      </c>
      <c r="E184" s="21">
        <v>2.0607348218655931E-2</v>
      </c>
      <c r="F184" s="5">
        <f>(E184/1.645)/D184</f>
        <v>0.13003186025950425</v>
      </c>
    </row>
    <row r="185" spans="1:6" x14ac:dyDescent="0.3">
      <c r="A185" t="s">
        <v>55</v>
      </c>
      <c r="D185" s="21">
        <v>0.31066523027201726</v>
      </c>
      <c r="E185" s="21">
        <v>0.16137539941964194</v>
      </c>
      <c r="F185" s="5">
        <f>(E185/1.645)/D185</f>
        <v>0.31577575216178616</v>
      </c>
    </row>
    <row r="186" spans="1:6" x14ac:dyDescent="0.3">
      <c r="A186" t="s">
        <v>56</v>
      </c>
      <c r="D186" s="21">
        <v>0.4951198548371693</v>
      </c>
      <c r="E186" s="21">
        <v>6.9883861303531136E-2</v>
      </c>
      <c r="F186" s="5">
        <f>(E186/1.645)/D186</f>
        <v>8.5802639589246402E-2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1"/>
  <sheetViews>
    <sheetView zoomScale="85" zoomScaleNormal="85" workbookViewId="0">
      <selection activeCell="G19" sqref="G19"/>
    </sheetView>
  </sheetViews>
  <sheetFormatPr defaultColWidth="11.54296875" defaultRowHeight="15.6" x14ac:dyDescent="0.3"/>
  <sheetData>
    <row r="1" spans="1:8" x14ac:dyDescent="0.3">
      <c r="A1" s="83" t="s">
        <v>22</v>
      </c>
      <c r="B1" s="83"/>
      <c r="C1" s="83"/>
      <c r="D1" s="83"/>
      <c r="E1" s="83"/>
      <c r="F1" s="83"/>
      <c r="G1" s="83"/>
    </row>
    <row r="2" spans="1:8" x14ac:dyDescent="0.3">
      <c r="B2" t="s">
        <v>25</v>
      </c>
      <c r="C2" s="19" t="s">
        <v>23</v>
      </c>
      <c r="D2" s="19" t="s">
        <v>24</v>
      </c>
      <c r="E2" s="19" t="s">
        <v>26</v>
      </c>
      <c r="F2" s="19" t="s">
        <v>27</v>
      </c>
      <c r="G2" s="19" t="s">
        <v>28</v>
      </c>
    </row>
    <row r="3" spans="1:8" x14ac:dyDescent="0.3">
      <c r="A3" s="15">
        <v>2005</v>
      </c>
      <c r="B3" s="13">
        <v>145427</v>
      </c>
      <c r="C3" s="51">
        <f>99157/B3</f>
        <v>0.68183349721853581</v>
      </c>
      <c r="D3" s="51">
        <f>38909/B3</f>
        <v>0.26755004228925855</v>
      </c>
      <c r="E3" s="51">
        <f>2753/B3</f>
        <v>1.8930459955854139E-2</v>
      </c>
      <c r="F3" s="51">
        <f>4024/B3</f>
        <v>2.7670240051709791E-2</v>
      </c>
      <c r="G3" s="51">
        <f>584/B3</f>
        <v>4.0157604846417791E-3</v>
      </c>
      <c r="H3" s="20"/>
    </row>
    <row r="4" spans="1:8" x14ac:dyDescent="0.3">
      <c r="A4" s="16">
        <v>2006</v>
      </c>
      <c r="B4" s="14">
        <v>153288</v>
      </c>
      <c r="C4" s="51">
        <f>104211/B4</f>
        <v>0.67983795209018316</v>
      </c>
      <c r="D4" s="51">
        <f>42452/B4</f>
        <v>0.27694274829079901</v>
      </c>
      <c r="E4" s="51">
        <f>2610/B4</f>
        <v>1.7026773132926255E-2</v>
      </c>
      <c r="F4" s="51">
        <f>3152/B4</f>
        <v>2.0562601116851938E-2</v>
      </c>
      <c r="G4" s="51">
        <f>863/B4</f>
        <v>5.6299253692396016E-3</v>
      </c>
      <c r="H4" s="20"/>
    </row>
    <row r="5" spans="1:8" x14ac:dyDescent="0.3">
      <c r="A5" s="15">
        <v>2007</v>
      </c>
      <c r="B5" s="13">
        <v>164925</v>
      </c>
      <c r="C5" s="51">
        <f>109536/B5</f>
        <v>0.66415643474306507</v>
      </c>
      <c r="D5" s="51">
        <f>46201/B5</f>
        <v>0.28013339396695469</v>
      </c>
      <c r="E5" s="51">
        <f>2987/B5</f>
        <v>1.8111262695164467E-2</v>
      </c>
      <c r="F5" s="51">
        <f>5048/B5</f>
        <v>3.0607852053963922E-2</v>
      </c>
      <c r="G5" s="51">
        <f>1153/B5</f>
        <v>6.9910565408519022E-3</v>
      </c>
      <c r="H5" s="20"/>
    </row>
    <row r="6" spans="1:8" x14ac:dyDescent="0.3">
      <c r="A6" s="16">
        <v>2008</v>
      </c>
      <c r="B6" s="14">
        <v>170802</v>
      </c>
      <c r="C6" s="51">
        <f>114911/B6</f>
        <v>0.67277315253919745</v>
      </c>
      <c r="D6" s="51">
        <f>46273/B6</f>
        <v>0.27091603142820342</v>
      </c>
      <c r="E6" s="51">
        <f>2936/B6</f>
        <v>1.7189494268217E-2</v>
      </c>
      <c r="F6" s="51">
        <f>4825/B6</f>
        <v>2.82490837343825E-2</v>
      </c>
      <c r="G6" s="51">
        <f>1857/B6</f>
        <v>1.0872238029999648E-2</v>
      </c>
      <c r="H6" s="20"/>
    </row>
    <row r="7" spans="1:8" x14ac:dyDescent="0.3">
      <c r="A7" s="15">
        <v>2009</v>
      </c>
      <c r="B7" s="13">
        <v>164793</v>
      </c>
      <c r="C7" s="51">
        <f>111277/B7</f>
        <v>0.67525319643431458</v>
      </c>
      <c r="D7" s="51">
        <f>46707/B7</f>
        <v>0.28342830095938543</v>
      </c>
      <c r="E7" s="51">
        <f>2559/B7</f>
        <v>1.5528572208771003E-2</v>
      </c>
      <c r="F7" s="51">
        <f>3598/B7</f>
        <v>2.1833451663602215E-2</v>
      </c>
      <c r="G7" s="51">
        <f>652/B7</f>
        <v>3.956478733926805E-3</v>
      </c>
      <c r="H7" s="20"/>
    </row>
    <row r="8" spans="1:8" x14ac:dyDescent="0.3">
      <c r="A8" s="16">
        <v>2010</v>
      </c>
      <c r="B8" s="14">
        <v>170499</v>
      </c>
      <c r="C8" s="51">
        <f>112353/B8</f>
        <v>0.65896574173455558</v>
      </c>
      <c r="D8" s="51">
        <f>49514/B8</f>
        <v>0.29040639534542723</v>
      </c>
      <c r="E8" s="51">
        <f>2460/B8</f>
        <v>1.442823711576021E-2</v>
      </c>
      <c r="F8" s="51">
        <f>5804/B8</f>
        <v>3.4041255373931809E-2</v>
      </c>
      <c r="G8" s="51">
        <f>368/B8</f>
        <v>2.1583704303251047E-3</v>
      </c>
      <c r="H8" s="20"/>
    </row>
    <row r="9" spans="1:8" x14ac:dyDescent="0.3">
      <c r="A9" s="15">
        <v>2011</v>
      </c>
      <c r="B9" s="13">
        <v>175371</v>
      </c>
      <c r="C9" s="51">
        <f>106690/B9</f>
        <v>0.60836740396074607</v>
      </c>
      <c r="D9" s="51">
        <f>59435/B9</f>
        <v>0.33891008205461565</v>
      </c>
      <c r="E9" s="51">
        <f>3872/B9</f>
        <v>2.2078907002868204E-2</v>
      </c>
      <c r="F9" s="51">
        <f>4505/B9</f>
        <v>2.5688397739649087E-2</v>
      </c>
      <c r="G9" s="51">
        <f>869/B9</f>
        <v>4.9552092421209894E-3</v>
      </c>
      <c r="H9" s="20"/>
    </row>
    <row r="10" spans="1:8" x14ac:dyDescent="0.3">
      <c r="A10" s="17">
        <v>2012</v>
      </c>
      <c r="B10" s="14">
        <v>180864</v>
      </c>
      <c r="C10" s="51">
        <f>119595/B10</f>
        <v>0.66124270169851385</v>
      </c>
      <c r="D10" s="51">
        <f>53210/B10</f>
        <v>0.29419895612172681</v>
      </c>
      <c r="E10" s="51">
        <f>2663/B10</f>
        <v>1.4723770346779901E-2</v>
      </c>
      <c r="F10" s="51">
        <f>4461/B10</f>
        <v>2.466494161358811E-2</v>
      </c>
      <c r="G10" s="51">
        <f>955/B10</f>
        <v>5.2802105449398446E-3</v>
      </c>
      <c r="H10" s="20"/>
    </row>
    <row r="11" spans="1:8" x14ac:dyDescent="0.3">
      <c r="A11" s="18">
        <v>2013</v>
      </c>
      <c r="B11" s="13">
        <v>183101</v>
      </c>
      <c r="C11" s="51">
        <f>116956/B11</f>
        <v>0.63875129027148947</v>
      </c>
      <c r="D11" s="51">
        <f>56655/B11</f>
        <v>0.30941939148338893</v>
      </c>
      <c r="E11" s="51">
        <f>2421/B11</f>
        <v>1.3222210692459354E-2</v>
      </c>
      <c r="F11" s="51">
        <f>5715/B11</f>
        <v>3.1212281746140109E-2</v>
      </c>
      <c r="G11" s="51">
        <f>1354/B11</f>
        <v>7.3948258065220833E-3</v>
      </c>
      <c r="H11" s="20"/>
    </row>
    <row r="12" spans="1:8" x14ac:dyDescent="0.3">
      <c r="A12" s="16">
        <v>2014</v>
      </c>
      <c r="B12" s="14">
        <v>186318</v>
      </c>
      <c r="C12" s="51">
        <v>0.62730922401485634</v>
      </c>
      <c r="D12" s="51">
        <v>0.32451507637480009</v>
      </c>
      <c r="E12" s="51">
        <v>2.0953423716441783E-2</v>
      </c>
      <c r="F12" s="51">
        <v>2.3798022735323478E-2</v>
      </c>
      <c r="G12" s="51">
        <v>3.4242531585783444E-3</v>
      </c>
    </row>
    <row r="13" spans="1:8" x14ac:dyDescent="0.3">
      <c r="A13" s="15">
        <v>2015</v>
      </c>
      <c r="B13" s="13">
        <v>188331</v>
      </c>
      <c r="C13" s="51">
        <v>0.64786997361029253</v>
      </c>
      <c r="D13" s="51">
        <v>0.29125316596842793</v>
      </c>
      <c r="E13" s="51">
        <v>2.0745389765890906E-2</v>
      </c>
      <c r="F13" s="51">
        <v>3.1380919763607691E-2</v>
      </c>
      <c r="G13" s="51">
        <v>8.7505508917809609E-3</v>
      </c>
    </row>
    <row r="14" spans="1:8" x14ac:dyDescent="0.3">
      <c r="A14" s="17">
        <v>2016</v>
      </c>
      <c r="B14" s="14">
        <v>190331</v>
      </c>
      <c r="C14" s="51">
        <f>123498/B14</f>
        <v>0.64885909284351995</v>
      </c>
      <c r="D14" s="51">
        <v>0.29302110533754355</v>
      </c>
      <c r="E14" s="51">
        <v>1.9896916424544608E-2</v>
      </c>
      <c r="F14" s="51">
        <v>3.1203534894473313E-2</v>
      </c>
      <c r="G14" s="51">
        <v>7.0193504999185629E-3</v>
      </c>
    </row>
    <row r="15" spans="1:8" x14ac:dyDescent="0.3">
      <c r="A15" s="15">
        <v>2017</v>
      </c>
      <c r="B15" s="54">
        <v>192411</v>
      </c>
      <c r="C15" s="51">
        <f>126285/B15</f>
        <v>0.65632941983566429</v>
      </c>
      <c r="D15" s="51">
        <f>56259/B15</f>
        <v>0.29238972823799053</v>
      </c>
      <c r="E15" s="51">
        <f>3119/B15</f>
        <v>1.6210091938610578E-2</v>
      </c>
      <c r="F15" s="51">
        <f>5076/B15</f>
        <v>2.6381028111698394E-2</v>
      </c>
      <c r="G15" s="51">
        <f>1672/B15</f>
        <v>8.6897318760361941E-3</v>
      </c>
    </row>
    <row r="16" spans="1:8" x14ac:dyDescent="0.3">
      <c r="A16" s="17">
        <v>2018</v>
      </c>
      <c r="B16" s="57">
        <v>192140</v>
      </c>
      <c r="C16" s="51">
        <v>0.66262100551681069</v>
      </c>
      <c r="D16" s="51">
        <v>0.27856771104403039</v>
      </c>
      <c r="E16" s="51">
        <v>2.1322993650463203E-2</v>
      </c>
      <c r="F16" s="51">
        <v>2.4617466430727594E-2</v>
      </c>
      <c r="G16" s="51">
        <v>1.2870823357968148E-2</v>
      </c>
    </row>
    <row r="17" spans="1:7" x14ac:dyDescent="0.3">
      <c r="A17" s="15">
        <v>2019</v>
      </c>
      <c r="B17" s="54">
        <v>193173</v>
      </c>
      <c r="C17" s="51">
        <f>127818/B17</f>
        <v>0.66167632122501596</v>
      </c>
      <c r="D17" s="51">
        <f>53571/B17</f>
        <v>0.27732136478700442</v>
      </c>
      <c r="E17" s="51">
        <f>5533/B17</f>
        <v>2.8642719220595012E-2</v>
      </c>
      <c r="F17" s="51">
        <f>5874/B17</f>
        <v>3.0407976269975618E-2</v>
      </c>
      <c r="G17" s="51">
        <f>377/B17</f>
        <v>1.9516184974090582E-3</v>
      </c>
    </row>
    <row r="20" spans="1:7" x14ac:dyDescent="0.3">
      <c r="A20" t="s">
        <v>71</v>
      </c>
    </row>
    <row r="21" spans="1:7" x14ac:dyDescent="0.3">
      <c r="A21" t="s">
        <v>134</v>
      </c>
    </row>
  </sheetData>
  <mergeCells count="1">
    <mergeCell ref="A1:G1"/>
  </mergeCells>
  <pageMargins left="0.75" right="0.75" top="1" bottom="1" header="0.5" footer="0.5"/>
  <pageSetup orientation="portrait" horizontalDpi="4294967292" verticalDpi="429496729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9870F-D329-46A7-8DB3-425C00583249}">
  <dimension ref="A1:O12"/>
  <sheetViews>
    <sheetView topLeftCell="M1" zoomScale="90" zoomScaleNormal="90" workbookViewId="0">
      <selection activeCell="I4" sqref="I4"/>
    </sheetView>
  </sheetViews>
  <sheetFormatPr defaultColWidth="11.54296875" defaultRowHeight="15.6" x14ac:dyDescent="0.3"/>
  <cols>
    <col min="1" max="1" width="12.54296875" customWidth="1"/>
  </cols>
  <sheetData>
    <row r="1" spans="1:15" ht="23.4" x14ac:dyDescent="0.45">
      <c r="A1" s="84" t="s">
        <v>98</v>
      </c>
      <c r="B1" s="84"/>
      <c r="C1" s="84"/>
      <c r="D1" s="84"/>
      <c r="E1" s="84"/>
      <c r="F1" s="84"/>
      <c r="G1" s="84"/>
      <c r="H1" s="84"/>
      <c r="I1" s="84"/>
    </row>
    <row r="2" spans="1:15" s="62" customFormat="1" x14ac:dyDescent="0.3">
      <c r="A2" s="62" t="s">
        <v>14</v>
      </c>
      <c r="B2" s="72" t="s">
        <v>99</v>
      </c>
      <c r="C2" s="62" t="s">
        <v>100</v>
      </c>
      <c r="D2" s="62" t="s">
        <v>101</v>
      </c>
      <c r="E2" s="62" t="s">
        <v>102</v>
      </c>
      <c r="F2" s="62" t="s">
        <v>103</v>
      </c>
      <c r="G2" s="62" t="s">
        <v>104</v>
      </c>
      <c r="H2" s="62" t="s">
        <v>105</v>
      </c>
      <c r="I2" s="62" t="s">
        <v>106</v>
      </c>
      <c r="J2" s="62" t="s">
        <v>107</v>
      </c>
      <c r="K2" s="62" t="s">
        <v>108</v>
      </c>
      <c r="L2" s="62" t="s">
        <v>109</v>
      </c>
      <c r="M2" s="62" t="s">
        <v>110</v>
      </c>
      <c r="N2" s="62" t="s">
        <v>111</v>
      </c>
      <c r="O2" s="80" t="s">
        <v>135</v>
      </c>
    </row>
    <row r="3" spans="1:15" ht="46.8" x14ac:dyDescent="0.3">
      <c r="A3" s="73" t="s">
        <v>112</v>
      </c>
      <c r="B3" s="74">
        <v>0.28999999999999998</v>
      </c>
      <c r="C3" s="6">
        <v>0.29899999999999999</v>
      </c>
      <c r="D3" s="6">
        <v>0.307</v>
      </c>
      <c r="E3" s="6">
        <v>0.308</v>
      </c>
      <c r="F3" s="6">
        <v>0.30599999999999999</v>
      </c>
      <c r="G3" s="6">
        <v>0.28000000000000003</v>
      </c>
      <c r="H3" s="6">
        <v>0.28100000000000003</v>
      </c>
      <c r="I3" s="6">
        <f>120089/428889</f>
        <v>0.2800001865284491</v>
      </c>
      <c r="J3" s="6">
        <f t="shared" ref="J3" si="0">119785/437375</f>
        <v>0.27387253501000286</v>
      </c>
      <c r="K3" s="6">
        <f t="shared" ref="K3" si="1">125395/446342</f>
        <v>0.28093927974512817</v>
      </c>
      <c r="L3" s="6">
        <f t="shared" ref="L3" si="2">121956/457810</f>
        <v>0.26638998711255762</v>
      </c>
      <c r="M3" s="6">
        <f t="shared" ref="M3" si="3">125658/462632</f>
        <v>0.2716154524546508</v>
      </c>
      <c r="N3" s="6">
        <f t="shared" ref="N3" si="4">138108/486548</f>
        <v>0.28385277506022016</v>
      </c>
      <c r="O3" s="20">
        <f t="shared" ref="O3" si="5">136733/507751</f>
        <v>0.269291444034576</v>
      </c>
    </row>
    <row r="4" spans="1:15" ht="62.4" x14ac:dyDescent="0.3">
      <c r="A4" s="73" t="s">
        <v>113</v>
      </c>
      <c r="B4" s="74">
        <v>0.2</v>
      </c>
      <c r="C4" s="6">
        <v>0.20499999999999999</v>
      </c>
      <c r="D4" s="6">
        <v>0.21199999999999999</v>
      </c>
      <c r="E4" s="6">
        <v>0.214</v>
      </c>
      <c r="F4" s="6">
        <v>0.20200000000000001</v>
      </c>
      <c r="G4" s="6">
        <v>0.19500000000000001</v>
      </c>
      <c r="H4" s="6">
        <v>0.188</v>
      </c>
      <c r="I4" s="6">
        <f>82789/428889</f>
        <v>0.193031297142151</v>
      </c>
      <c r="J4" s="6">
        <f>81969/437375</f>
        <v>0.18741126036010289</v>
      </c>
      <c r="K4" s="6">
        <f>91864/446342</f>
        <v>0.20581527169748759</v>
      </c>
      <c r="L4" s="6">
        <f>86114/457810</f>
        <v>0.18809986675695156</v>
      </c>
      <c r="M4" s="6">
        <f>94064/462632</f>
        <v>0.20332359196942709</v>
      </c>
      <c r="N4" s="6">
        <f>99984/486548</f>
        <v>0.20549668275278082</v>
      </c>
      <c r="O4" s="20">
        <f>101664/507751</f>
        <v>0.20022412560487327</v>
      </c>
    </row>
    <row r="5" spans="1:15" ht="46.8" x14ac:dyDescent="0.3">
      <c r="A5" s="73" t="s">
        <v>114</v>
      </c>
      <c r="B5" s="74">
        <v>1.9E-2</v>
      </c>
      <c r="C5" s="6">
        <v>2.4E-2</v>
      </c>
      <c r="D5" s="6">
        <v>2.4E-2</v>
      </c>
      <c r="E5" s="6">
        <v>2.3E-2</v>
      </c>
      <c r="F5" s="6">
        <v>2.3E-2</v>
      </c>
      <c r="G5" s="6">
        <v>1.7999999999999999E-2</v>
      </c>
      <c r="H5" s="6">
        <v>2.5000000000000001E-2</v>
      </c>
      <c r="I5" s="6">
        <f>7637/428889</f>
        <v>1.7806472070862157E-2</v>
      </c>
      <c r="J5" s="6">
        <f>8644/437375</f>
        <v>1.9763360960274364E-2</v>
      </c>
      <c r="K5" s="6">
        <f>7985/446342</f>
        <v>1.7889869203435931E-2</v>
      </c>
      <c r="L5" s="6">
        <f>7267/457810</f>
        <v>1.5873397260872415E-2</v>
      </c>
      <c r="M5" s="6">
        <f>8240/462632</f>
        <v>1.7811132822632244E-2</v>
      </c>
      <c r="N5" s="6">
        <f>11664/486548</f>
        <v>2.397296875128456E-2</v>
      </c>
      <c r="O5" s="20">
        <f>10469/507751</f>
        <v>2.0618373966767176E-2</v>
      </c>
    </row>
    <row r="6" spans="1:15" ht="46.8" x14ac:dyDescent="0.3">
      <c r="A6" s="73" t="s">
        <v>115</v>
      </c>
      <c r="B6" s="74">
        <v>7.0999999999999994E-2</v>
      </c>
      <c r="C6" s="6">
        <v>7.0999999999999994E-2</v>
      </c>
      <c r="D6" s="6">
        <v>7.0999999999999994E-2</v>
      </c>
      <c r="E6" s="6">
        <v>7.0999999999999994E-2</v>
      </c>
      <c r="F6" s="6">
        <v>8.1000000000000003E-2</v>
      </c>
      <c r="G6" s="6">
        <v>6.6000000000000003E-2</v>
      </c>
      <c r="H6" s="6">
        <v>6.7000000000000004E-2</v>
      </c>
      <c r="I6" s="6">
        <f>29663/428889</f>
        <v>6.9162417315435931E-2</v>
      </c>
      <c r="J6" s="6">
        <f>46635/437375</f>
        <v>0.10662474992855102</v>
      </c>
      <c r="K6" s="6">
        <f>25187/446342</f>
        <v>5.6429822871251194E-2</v>
      </c>
      <c r="L6" s="6">
        <f>28575/457810</f>
        <v>6.2416723094733624E-2</v>
      </c>
      <c r="M6" s="6">
        <f>23354/462632</f>
        <v>5.0480727662591436E-2</v>
      </c>
      <c r="N6" s="6">
        <f>26460/486548</f>
        <v>5.4383123556154787E-2</v>
      </c>
      <c r="O6" s="20">
        <f>24600/507751</f>
        <v>4.8448944462935573E-2</v>
      </c>
    </row>
    <row r="7" spans="1:15" ht="78" x14ac:dyDescent="0.3">
      <c r="A7" s="73" t="s">
        <v>116</v>
      </c>
      <c r="B7" s="74">
        <v>0.42899999999999999</v>
      </c>
      <c r="C7" s="6">
        <v>0.38</v>
      </c>
      <c r="D7" s="6">
        <f>6670/17719</f>
        <v>0.37643207855973815</v>
      </c>
      <c r="E7" s="6">
        <f>5526/13224</f>
        <v>0.41787658802177857</v>
      </c>
      <c r="F7" s="6">
        <f>7134/18025</f>
        <v>0.39578363384188625</v>
      </c>
      <c r="G7" s="6">
        <f>9374/21264</f>
        <v>0.44083897667419114</v>
      </c>
      <c r="H7" s="6">
        <f>6221/20060</f>
        <v>0.3101196410767697</v>
      </c>
      <c r="I7" s="6">
        <f>6276/428889</f>
        <v>1.4633156830788386E-2</v>
      </c>
      <c r="J7" s="6">
        <f>9103/437375</f>
        <v>2.0812803658188054E-2</v>
      </c>
      <c r="K7" s="6">
        <f>5584/446342</f>
        <v>1.2510586052847368E-2</v>
      </c>
      <c r="L7" s="6">
        <f>8613/457810</f>
        <v>1.8813481575326009E-2</v>
      </c>
      <c r="M7" s="6">
        <f>7820/462632</f>
        <v>1.6903283819536912E-2</v>
      </c>
      <c r="N7" s="6">
        <f>6676/486548</f>
        <v>1.3721153925203679E-2</v>
      </c>
      <c r="O7" s="20">
        <f>5035/507751</f>
        <v>9.9162778606049027E-3</v>
      </c>
    </row>
    <row r="9" spans="1:15" x14ac:dyDescent="0.3">
      <c r="A9" t="s">
        <v>117</v>
      </c>
    </row>
    <row r="12" spans="1:15" x14ac:dyDescent="0.3">
      <c r="A12" t="s">
        <v>118</v>
      </c>
      <c r="C12" t="s">
        <v>119</v>
      </c>
    </row>
  </sheetData>
  <mergeCells count="1">
    <mergeCell ref="A1:I1"/>
  </mergeCells>
  <phoneticPr fontId="18" type="noConversion"/>
  <pageMargins left="0.75" right="0.75" top="1" bottom="1" header="0.5" footer="0.5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Travis County Pop # &amp; %</vt:lpstr>
      <vt:lpstr>Race-Ethnicity Travis 2018</vt:lpstr>
      <vt:lpstr>Under 18 Poverty</vt:lpstr>
      <vt:lpstr>Austin MSA Poverty</vt:lpstr>
      <vt:lpstr>Children by Family Type</vt:lpstr>
      <vt:lpstr>Where Children Live</vt:lpstr>
      <vt:lpstr>Poverty by Family Type</vt:lpstr>
      <vt:lpstr>Language</vt:lpstr>
      <vt:lpstr>Households over Time</vt:lpstr>
      <vt:lpstr>Travis County below Poverty Rac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Brown</dc:creator>
  <cp:lastModifiedBy>CAN 4</cp:lastModifiedBy>
  <dcterms:created xsi:type="dcterms:W3CDTF">2014-10-06T19:44:48Z</dcterms:created>
  <dcterms:modified xsi:type="dcterms:W3CDTF">2022-04-04T22:57:07Z</dcterms:modified>
</cp:coreProperties>
</file>